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rashodi" sheetId="1" r:id="rId1"/>
    <sheet name="rashodi5" sheetId="2" r:id="rId2"/>
    <sheet name="rashodi4" sheetId="3" r:id="rId3"/>
    <sheet name="rashodi3" sheetId="4" r:id="rId4"/>
    <sheet name="rashodi1" sheetId="5" r:id="rId5"/>
    <sheet name="prihodi" sheetId="6" r:id="rId6"/>
    <sheet name="rashodi2" sheetId="7" r:id="rId7"/>
  </sheets>
  <definedNames>
    <definedName name="_xlnm.Print_Area" localSheetId="5">'prihodi'!$A$1:$H$36</definedName>
    <definedName name="_xlnm.Print_Area" localSheetId="4">'rashodi1'!$A$1:$H$38</definedName>
    <definedName name="_xlnm.Print_Area" localSheetId="6">'rashodi2'!$A$5:$H$37</definedName>
    <definedName name="_xlnm.Print_Area" localSheetId="3">'rashodi3'!$A$1:$H$30</definedName>
    <definedName name="_xlnm.Print_Area" localSheetId="2">'rashodi4'!$A$1:$H$30</definedName>
    <definedName name="_xlnm.Print_Area" localSheetId="1">'rashodi5'!$A$1:$H$32</definedName>
  </definedNames>
  <calcPr fullCalcOnLoad="1"/>
</workbook>
</file>

<file path=xl/comments1.xml><?xml version="1.0" encoding="utf-8"?>
<comments xmlns="http://schemas.openxmlformats.org/spreadsheetml/2006/main">
  <authors>
    <author>mivana</author>
  </authors>
  <commentList>
    <comment ref="F20" authorId="0">
      <text>
        <r>
          <rPr>
            <b/>
            <sz val="9"/>
            <rFont val="Tahoma"/>
            <family val="2"/>
          </rPr>
          <t>sa izdacima za obrasce papir i kompjuterski materijal, bez 613 993, 613 9931, 613 9932 (usluge instituta za med. vještačenje)</t>
        </r>
      </text>
    </comment>
    <comment ref="D20" authorId="0">
      <text>
        <r>
          <rPr>
            <b/>
            <sz val="9"/>
            <rFont val="Tahoma"/>
            <family val="2"/>
          </rPr>
          <t>stara podjela administartivnih troškova  bez obrazaca i papira konta</t>
        </r>
      </text>
    </comment>
  </commentList>
</comments>
</file>

<file path=xl/comments2.xml><?xml version="1.0" encoding="utf-8"?>
<comments xmlns="http://schemas.openxmlformats.org/spreadsheetml/2006/main">
  <authors>
    <author>mivana</author>
  </authors>
  <commentList>
    <comment ref="E22" authorId="0">
      <text>
        <r>
          <rPr>
            <sz val="9"/>
            <rFont val="Tahoma"/>
            <family val="2"/>
          </rPr>
          <t xml:space="preserve">suma konta:
614 211,
614 2112,
614 2113,
614 21141,
614 21151 </t>
        </r>
      </text>
    </comment>
    <comment ref="E23" authorId="0">
      <text>
        <r>
          <rPr>
            <sz val="9"/>
            <rFont val="Tahoma"/>
            <family val="2"/>
          </rPr>
          <t>suma konta:
614 2114,
614 2115,
614 2116,
614 2117,
614 2118,
614 2119,
614 2192.
614 21107
614 21108
614 21109</t>
        </r>
      </text>
    </comment>
    <comment ref="E24" authorId="0">
      <text>
        <r>
          <rPr>
            <sz val="9"/>
            <rFont val="Tahoma"/>
            <family val="2"/>
          </rPr>
          <t xml:space="preserve">61421110
</t>
        </r>
      </text>
    </comment>
  </commentList>
</comments>
</file>

<file path=xl/comments6.xml><?xml version="1.0" encoding="utf-8"?>
<comments xmlns="http://schemas.openxmlformats.org/spreadsheetml/2006/main">
  <authors>
    <author>mivana</author>
  </authors>
  <commentList>
    <comment ref="B28" authorId="0">
      <text>
        <r>
          <rPr>
            <b/>
            <sz val="9"/>
            <rFont val="Tahoma"/>
            <family val="2"/>
          </rPr>
          <t xml:space="preserve">otpremnine 10.000 KM.
</t>
        </r>
      </text>
    </comment>
    <comment ref="E32" authorId="0">
      <text>
        <r>
          <rPr>
            <b/>
            <sz val="9"/>
            <rFont val="Tahoma"/>
            <family val="0"/>
          </rPr>
          <t>1.400.000 KM Federacija BiH</t>
        </r>
      </text>
    </comment>
  </commentList>
</comments>
</file>

<file path=xl/comments7.xml><?xml version="1.0" encoding="utf-8"?>
<comments xmlns="http://schemas.openxmlformats.org/spreadsheetml/2006/main">
  <authors>
    <author>mivana</author>
  </authors>
  <commentList>
    <comment ref="D13" authorId="0">
      <text>
        <r>
          <rPr>
            <b/>
            <sz val="9"/>
            <rFont val="Tahoma"/>
            <family val="2"/>
          </rPr>
          <t>Ostvarenje od I.-XII/2011 godine je 117.641,60 KM.</t>
        </r>
      </text>
    </comment>
  </commentList>
</comments>
</file>

<file path=xl/sharedStrings.xml><?xml version="1.0" encoding="utf-8"?>
<sst xmlns="http://schemas.openxmlformats.org/spreadsheetml/2006/main" count="373" uniqueCount="316">
  <si>
    <t>INVALIDSKO OSIGURANJE</t>
  </si>
  <si>
    <t>A-PRIHODI</t>
  </si>
  <si>
    <t>Konto</t>
  </si>
  <si>
    <t>OPIS</t>
  </si>
  <si>
    <t>Doprinos za mirovinsko i
 invalidsko osiguranje</t>
  </si>
  <si>
    <t>Prihodi od pružanja usluga</t>
  </si>
  <si>
    <t>Ukupno</t>
  </si>
  <si>
    <t>Ukupni prihodi i primici</t>
  </si>
  <si>
    <t>B - RASHODI</t>
  </si>
  <si>
    <t>Plaće i naknade
 uposlenih</t>
  </si>
  <si>
    <t>Dop. na teret uposl.</t>
  </si>
  <si>
    <t>611 211</t>
  </si>
  <si>
    <t>Nak. za prijevoz sa
 posla i na posao</t>
  </si>
  <si>
    <t>611 213</t>
  </si>
  <si>
    <t xml:space="preserve">Nak. trošk. smještaja 
dužnosnika  </t>
  </si>
  <si>
    <t>611 214</t>
  </si>
  <si>
    <t>Nak. za odvojeni život</t>
  </si>
  <si>
    <t>611 221</t>
  </si>
  <si>
    <t xml:space="preserve">Nak. za topli obrok </t>
  </si>
  <si>
    <t>611 223</t>
  </si>
  <si>
    <t>611 224</t>
  </si>
  <si>
    <t>Regres za god. odmor</t>
  </si>
  <si>
    <t>611 225</t>
  </si>
  <si>
    <t>Otpremnine zbog
 odlaska u mir.</t>
  </si>
  <si>
    <t>611 227</t>
  </si>
  <si>
    <t>Pomoć u sl. smrti ili teže invalidnosti</t>
  </si>
  <si>
    <t>611 229</t>
  </si>
  <si>
    <t>613 113</t>
  </si>
  <si>
    <t>Tr. putov. vl. 
vozilom u zemlji</t>
  </si>
  <si>
    <t>613 114</t>
  </si>
  <si>
    <t>Tr. smještaja za 
sl. put u zemlji</t>
  </si>
  <si>
    <t>613 124</t>
  </si>
  <si>
    <t>613 125</t>
  </si>
  <si>
    <t>613 191</t>
  </si>
  <si>
    <t>613 211</t>
  </si>
  <si>
    <t>Izdaci za el. energiju</t>
  </si>
  <si>
    <t>613 212</t>
  </si>
  <si>
    <t>Izdaci za centr. grijanje</t>
  </si>
  <si>
    <t>613 213</t>
  </si>
  <si>
    <t>Izdaci za lož ulje</t>
  </si>
  <si>
    <t>Izdaci za vodu i kanalizac.</t>
  </si>
  <si>
    <t>PTT troškovi za ispl. mir.</t>
  </si>
  <si>
    <t>Zakup telefonskog voda</t>
  </si>
  <si>
    <t>Izdaci za usluge 
održavanja čistoće</t>
  </si>
  <si>
    <t>Dop. za korištenje  
građ. zemljišta</t>
  </si>
  <si>
    <t>613 413</t>
  </si>
  <si>
    <t>Izdaci za obraz. kadrova</t>
  </si>
  <si>
    <t>613 481</t>
  </si>
  <si>
    <t>Izdaci za odjeću,  
uniformu i platno</t>
  </si>
  <si>
    <t>613 484</t>
  </si>
  <si>
    <t>Materijal za čišćenje</t>
  </si>
  <si>
    <t>613 513</t>
  </si>
  <si>
    <t>Motorno ulje</t>
  </si>
  <si>
    <t>613 521</t>
  </si>
  <si>
    <t>Usluge premještaja i selidbe</t>
  </si>
  <si>
    <t>613 522</t>
  </si>
  <si>
    <t>613 523</t>
  </si>
  <si>
    <t>Registracija motornih vozila</t>
  </si>
  <si>
    <t>613 611</t>
  </si>
  <si>
    <t>613 711</t>
  </si>
  <si>
    <t xml:space="preserve">Mater. za opravku i
 održavanje zgrada </t>
  </si>
  <si>
    <t>613 712</t>
  </si>
  <si>
    <t xml:space="preserve">Mater. za opravku i
 održavanje opreme </t>
  </si>
  <si>
    <t>613 713</t>
  </si>
  <si>
    <t>Mater. za opravku 
i održavanje vozila</t>
  </si>
  <si>
    <t>613 721</t>
  </si>
  <si>
    <t>Usluge opravke i 
održavanje  zgrada</t>
  </si>
  <si>
    <t>613 722</t>
  </si>
  <si>
    <t>Usluge opravke i 
održavanje  opreme</t>
  </si>
  <si>
    <t>613 723</t>
  </si>
  <si>
    <t>Usluge opravke i
 održavanja vozila</t>
  </si>
  <si>
    <t>613 811</t>
  </si>
  <si>
    <t>Osiguranje imovine</t>
  </si>
  <si>
    <t>613 813</t>
  </si>
  <si>
    <t>Osiguranje vozila</t>
  </si>
  <si>
    <t>613 814</t>
  </si>
  <si>
    <t>Izdaci za fizičko 
osigur. objekata</t>
  </si>
  <si>
    <t>613 821</t>
  </si>
  <si>
    <t>Izdaci bank. usluga</t>
  </si>
  <si>
    <t>613 8211</t>
  </si>
  <si>
    <t>Izdaci bank. usluga
 za isp. mir. u inoz.</t>
  </si>
  <si>
    <t>Izdaci za konverziju</t>
  </si>
  <si>
    <t>613 831</t>
  </si>
  <si>
    <t>613 911</t>
  </si>
  <si>
    <t>Usluge medija</t>
  </si>
  <si>
    <t>613 913</t>
  </si>
  <si>
    <t>613 914</t>
  </si>
  <si>
    <t>Usl. reprezentacije</t>
  </si>
  <si>
    <t>613 932</t>
  </si>
  <si>
    <t>Pravne usluge</t>
  </si>
  <si>
    <t>613 934</t>
  </si>
  <si>
    <t>613 991</t>
  </si>
  <si>
    <t>Ost.  nespomenute 
usluge i davanja</t>
  </si>
  <si>
    <t>614 211</t>
  </si>
  <si>
    <t>Isplata mirovina</t>
  </si>
  <si>
    <t>614 2111</t>
  </si>
  <si>
    <t>614 212</t>
  </si>
  <si>
    <t xml:space="preserve">Dopr. za zdrav. osig.  </t>
  </si>
  <si>
    <t>614 239</t>
  </si>
  <si>
    <t>614 311</t>
  </si>
  <si>
    <t>Grantovi neprifitnim org.
(pomoć po odl. UO)</t>
  </si>
  <si>
    <t>I</t>
  </si>
  <si>
    <t>Izdaci za nabavku
 stalnih sredstava</t>
  </si>
  <si>
    <t>II</t>
  </si>
  <si>
    <t>Višak rashoda</t>
  </si>
  <si>
    <t>Pl. i nak.upos.
( 611 111 do 611 241)</t>
  </si>
  <si>
    <t>Prihodi od kamata</t>
  </si>
  <si>
    <t>Prihodi od refundacije po 
međunarodnim ugovorima</t>
  </si>
  <si>
    <t>Nak. učenicima,
  stud.i priprav.</t>
  </si>
  <si>
    <t>Izdaci za usluge odvoza smeća</t>
  </si>
  <si>
    <t>712 000</t>
  </si>
  <si>
    <t>721 211</t>
  </si>
  <si>
    <t>722 000</t>
  </si>
  <si>
    <t>Usluga instituta za medicinsko vještačenje</t>
  </si>
  <si>
    <t>821 000</t>
  </si>
  <si>
    <t xml:space="preserve">Višak prihoda </t>
  </si>
  <si>
    <t>811 113</t>
  </si>
  <si>
    <t>Primici od prodaje stalnih sredstava</t>
  </si>
  <si>
    <t>613 975</t>
  </si>
  <si>
    <t>613 976</t>
  </si>
  <si>
    <t>Opća vodna naknada</t>
  </si>
  <si>
    <t>Ostali izdaci za druge samostalne djelatnosti</t>
  </si>
  <si>
    <t>Isplata mirovina
koje se financiraju iz proračuna</t>
  </si>
  <si>
    <t xml:space="preserve">Dopr. za zdrav. Osig.  (beneficirane)  </t>
  </si>
  <si>
    <t>613 321</t>
  </si>
  <si>
    <t>613 323</t>
  </si>
  <si>
    <t>613 324</t>
  </si>
  <si>
    <t>613 326</t>
  </si>
  <si>
    <t>Naknada članka 143.</t>
  </si>
  <si>
    <t>Doprinos na plaće</t>
  </si>
  <si>
    <t>721 2393</t>
  </si>
  <si>
    <t>732 141</t>
  </si>
  <si>
    <t>732 143</t>
  </si>
  <si>
    <t>732 142</t>
  </si>
  <si>
    <t>732 144</t>
  </si>
  <si>
    <t>732 145</t>
  </si>
  <si>
    <t>732 146</t>
  </si>
  <si>
    <t>611 2251</t>
  </si>
  <si>
    <t>613 3141</t>
  </si>
  <si>
    <t>613 3122</t>
  </si>
  <si>
    <t>613 995</t>
  </si>
  <si>
    <t>613 8213</t>
  </si>
  <si>
    <t>613 993</t>
  </si>
  <si>
    <t>613 9931</t>
  </si>
  <si>
    <t xml:space="preserve">613 115 </t>
  </si>
  <si>
    <t>Zakup poslovnog prostora</t>
  </si>
  <si>
    <t xml:space="preserve">   61111
 </t>
  </si>
  <si>
    <t>Dop. na teret 
poslodavca   
(612 111 i 612 2191)</t>
  </si>
  <si>
    <t>Izdaci za mat. usluge
 (613111 do 613995)</t>
  </si>
  <si>
    <t>Isplata nakn. za TO</t>
  </si>
  <si>
    <t>Tekući grantovi                                            (614 211 do 614 311)</t>
  </si>
  <si>
    <t>Ostala mat. davanja (pomoć u slučaju ostalih bolesti)</t>
  </si>
  <si>
    <t>613 9932</t>
  </si>
  <si>
    <t>Plan 2012</t>
  </si>
  <si>
    <t>613 311</t>
  </si>
  <si>
    <t>613 312</t>
  </si>
  <si>
    <t>613 313</t>
  </si>
  <si>
    <t>613 314</t>
  </si>
  <si>
    <t>Izdaci za telefon i telefax</t>
  </si>
  <si>
    <t>Izdaci za internet</t>
  </si>
  <si>
    <t>Izdaci za mobilni telefon</t>
  </si>
  <si>
    <t>Poštanske usluge</t>
  </si>
  <si>
    <t xml:space="preserve">Tr. dnevnica u zemlji </t>
  </si>
  <si>
    <t>Ostale naknade putnih i dr. troškova</t>
  </si>
  <si>
    <t>Usluge jav. inf. i odn. sa javnošću</t>
  </si>
  <si>
    <t>Ostali grantovi pojed.              (po odl. UO)</t>
  </si>
  <si>
    <t>611 2291</t>
  </si>
  <si>
    <t>Isplata mirovina koje se financiraju iz proračuna BiH (2011i 2012)</t>
  </si>
  <si>
    <t>732 147</t>
  </si>
  <si>
    <t>Mirovine koje se financiraju iz proračuna BiH (Službeni glasnik BiH br. 88/05, 53/07, 59/09 i 74/2011) (za 2011)</t>
  </si>
  <si>
    <t>Mirovine koje se financiraju iz proračuna BiH (Službeni glasnik BiH br. 88/05, 53/07, 59/09 i 74/2011) (za 2012)</t>
  </si>
  <si>
    <t>Ostala dodatna primanja (otpremnine prema programu racionalizacije)</t>
  </si>
  <si>
    <t>Primljeni grantovi od ostalih razina vlasti</t>
  </si>
  <si>
    <t>Doprinos za mirovinsko i
 invalidsko osiguranje iz ranijih godina</t>
  </si>
  <si>
    <t>712 000 -1</t>
  </si>
  <si>
    <t>U k u p n o                ( I + 821 000)</t>
  </si>
  <si>
    <t>Uk u p n o    (611+612+         613+ 614)</t>
  </si>
  <si>
    <t>Plan 2013</t>
  </si>
  <si>
    <t xml:space="preserve">Plan 2013/ Plan 2012           </t>
  </si>
  <si>
    <t>Struktura plana 2013</t>
  </si>
  <si>
    <t>Tr. prijevoza u
 zemlji jav. sredstvima</t>
  </si>
  <si>
    <t>Tr. prijevoza u
 zemlji služb. sredstvima</t>
  </si>
  <si>
    <t>613 112</t>
  </si>
  <si>
    <t>613 111</t>
  </si>
  <si>
    <t>613 122</t>
  </si>
  <si>
    <t>613 121</t>
  </si>
  <si>
    <t>Tr. prijevoza u inoz. jav. sredstvima</t>
  </si>
  <si>
    <t>Tr. prijevoza u inoz. služ. sredstvima</t>
  </si>
  <si>
    <t>Tr. smještaja za sl. put u inozemstvu</t>
  </si>
  <si>
    <t>Tr. dnevnica u inozemstvu</t>
  </si>
  <si>
    <t>613 214</t>
  </si>
  <si>
    <t>613 215</t>
  </si>
  <si>
    <t>613 216</t>
  </si>
  <si>
    <t>Izdaci za ugalj</t>
  </si>
  <si>
    <t>Izdaci za drvo</t>
  </si>
  <si>
    <t>Izdaci za plin</t>
  </si>
  <si>
    <t xml:space="preserve">613 329   </t>
  </si>
  <si>
    <t xml:space="preserve">613 327   </t>
  </si>
  <si>
    <t>Usluge deratizacije</t>
  </si>
  <si>
    <t>Ostale kom. usluge</t>
  </si>
  <si>
    <t>Izdaci za obrasce i papir</t>
  </si>
  <si>
    <t xml:space="preserve"> 613 411</t>
  </si>
  <si>
    <t>613 412</t>
  </si>
  <si>
    <t>Izdaci za kompjutorski materijal</t>
  </si>
  <si>
    <t>613 416</t>
  </si>
  <si>
    <t>613 417</t>
  </si>
  <si>
    <t>613 418</t>
  </si>
  <si>
    <t>613 419</t>
  </si>
  <si>
    <t>Sitan inventar</t>
  </si>
  <si>
    <t>Uredski materijal</t>
  </si>
  <si>
    <t xml:space="preserve"> Izdaci za ostali adm. materijal </t>
  </si>
  <si>
    <t>613 415</t>
  </si>
  <si>
    <t>Materijal za dekoriranje služ. prostorija</t>
  </si>
  <si>
    <t>Auto gume</t>
  </si>
  <si>
    <t>613 512</t>
  </si>
  <si>
    <t>613 511</t>
  </si>
  <si>
    <t xml:space="preserve">Benzin </t>
  </si>
  <si>
    <t xml:space="preserve">Dizel </t>
  </si>
  <si>
    <t>Osiguranje zaposlenih - kolek. životno osiguranje</t>
  </si>
  <si>
    <t>Izdaci za negativne
tečajne razlike</t>
  </si>
  <si>
    <t>613 919</t>
  </si>
  <si>
    <t>613 916</t>
  </si>
  <si>
    <t>Usluge objavlj. tendera i oglasa</t>
  </si>
  <si>
    <t>Ostali izdaci za informiranje</t>
  </si>
  <si>
    <t>613 923</t>
  </si>
  <si>
    <t>613 922</t>
  </si>
  <si>
    <t>Usl. stručnog obrazovanja</t>
  </si>
  <si>
    <t>Izdaci za specijalizaciju i školovanje</t>
  </si>
  <si>
    <t>Izdaci za usluge instituta za medicinsko vještačenje-inozem.</t>
  </si>
  <si>
    <t>Izdaci za usluge instituta za medicinsko vještačenje-refundac.</t>
  </si>
  <si>
    <t>Zatezne kamate</t>
  </si>
  <si>
    <t>613 961</t>
  </si>
  <si>
    <t>613 962</t>
  </si>
  <si>
    <t>613 9621</t>
  </si>
  <si>
    <t>Troškovi spora</t>
  </si>
  <si>
    <t>Troškovi pristojbi</t>
  </si>
  <si>
    <t>613 985</t>
  </si>
  <si>
    <t>Izdaci za volontere</t>
  </si>
  <si>
    <t>613 973</t>
  </si>
  <si>
    <t>Izdaci za volontere za osiguranje za slu.ozlj. na radu</t>
  </si>
  <si>
    <t>613 9834</t>
  </si>
  <si>
    <t>613 983</t>
  </si>
  <si>
    <t>Poseban porez na doh. od prirod. i dr. nesreća</t>
  </si>
  <si>
    <t>721 2394</t>
  </si>
  <si>
    <t>721 2392</t>
  </si>
  <si>
    <t>Prihodi od pretplata mirovina
 iz ranijih godina-regres</t>
  </si>
  <si>
    <t>Prihod od povrata mirovina iz ranijih godina</t>
  </si>
  <si>
    <t>721 122</t>
  </si>
  <si>
    <t>Prihod od iznajmljivanja poslovnih prostora</t>
  </si>
  <si>
    <t>Ostali prihod od financiranja i nematerijale imovine</t>
  </si>
  <si>
    <t>721 219</t>
  </si>
  <si>
    <t>721 2191</t>
  </si>
  <si>
    <t>Ostali prihod od financiranja i nemat. Imovine zav. Za</t>
  </si>
  <si>
    <t>721 2192</t>
  </si>
  <si>
    <t>Ostali prihodi od financ. I nemat. Imovine-banke</t>
  </si>
  <si>
    <t>721 2391</t>
  </si>
  <si>
    <t>Ostali prihodi od imovine</t>
  </si>
  <si>
    <t>613 9831</t>
  </si>
  <si>
    <t>Pos. nakn. na doh. za zaštitu od prir. i dr. nesreća - skup. zastupnic.</t>
  </si>
  <si>
    <t>613 9836</t>
  </si>
  <si>
    <t>Opća vodna naknada -skup. zastupnic.</t>
  </si>
  <si>
    <t>613 9861</t>
  </si>
  <si>
    <t>613 9871</t>
  </si>
  <si>
    <t>613 9881</t>
  </si>
  <si>
    <t>Do.MIO iz pr.od. dr. sam. dj. i pov. sam. ra. - skup.zastupnic.</t>
  </si>
  <si>
    <t>Porez na doh. od dr. sam dj. I pov. sam. rada - skup. zastupnic.</t>
  </si>
  <si>
    <t>Izdaci za nakn.skup.zastupnic.</t>
  </si>
  <si>
    <t>613 9832</t>
  </si>
  <si>
    <t>613 9837</t>
  </si>
  <si>
    <t>613 9862</t>
  </si>
  <si>
    <t>613 9872</t>
  </si>
  <si>
    <t>613 9882</t>
  </si>
  <si>
    <t>Pos. nakn. na doh. za zaštitu od prir. i dr. nesreća - dr. s.</t>
  </si>
  <si>
    <t>Opća vodna naknada -samostal. djel.</t>
  </si>
  <si>
    <t>Do.z.o. iz pr.od dr. sa dj. i pov.sam. ra.-samosta. djel.</t>
  </si>
  <si>
    <t>Do.z.o. iz pr.od dr. sa dj. i pov.sam. ra. - skup. zastupnic.</t>
  </si>
  <si>
    <t>Do.MIO iz pr.od. dr. sam. dj. i pov. sam. ra. - samosta. djel..</t>
  </si>
  <si>
    <t>Porez na doh. od dr. sam dj. i pov. sam. rada - samost. djel.</t>
  </si>
  <si>
    <t xml:space="preserve">FEDERALNI ZAVOD ZA MIROVINSKO/PENZIJSKO I </t>
  </si>
  <si>
    <t>732 148</t>
  </si>
  <si>
    <t>732 1491</t>
  </si>
  <si>
    <t>73214</t>
  </si>
  <si>
    <t>Ukupni granovi iz Proračuna BiH</t>
  </si>
  <si>
    <t>7321 149</t>
  </si>
  <si>
    <t>Otplata duga Federacije BiH</t>
  </si>
  <si>
    <t>%</t>
  </si>
  <si>
    <t>adminis. troš.</t>
  </si>
  <si>
    <t>mirov./penz.</t>
  </si>
  <si>
    <t>Rashodi           2013</t>
  </si>
  <si>
    <t>Tekuće potpore (grantovi) od FBiH (uredba o povolj.stjec.prava na starosnu mirovinu voj.osiguranika Uredba II. Sl.u FBiH 18/04, 27/04</t>
  </si>
  <si>
    <t>Tekuće potpore (grantovi) od FBIH po Uredbi  o stjecanju prava na starosnu mir. pripadnika bivše voj. FBIH Uredba III, Sl 75/06,58/07 FBiH</t>
  </si>
  <si>
    <t xml:space="preserve">Tekuće potpore (grantovi) od FBIH po Uredbi o povoljnijim uvjetima za stecanje prava na starosnu mirovinu vojnih osiguranika Vojske FBiH - Uredba I. </t>
  </si>
  <si>
    <t>Zakon o izmjenama i dopunama Zakona o potvrđivanju prava na prijevremenu starosnu mirovinu/penziju ostvarenu pod povoljnijim uvjetima (10.000 KM)</t>
  </si>
  <si>
    <t>Odluka o sufinanciranju najnižih mirovina/penzija ostvarenih pod povoljnijim uvjetima čiji je iznos manji od najniže mirovine/penzije po Zakonu FZ MIO/PIO Federacije BiH ("Sl. Novine FBiH Br.2/11)</t>
  </si>
  <si>
    <t>Ukupni granovi od FBiH (2013)</t>
  </si>
  <si>
    <t>Ukupno Federacija BIH</t>
  </si>
  <si>
    <t>Rashodi         2013</t>
  </si>
  <si>
    <t>Udio rashoda</t>
  </si>
  <si>
    <t>Ostvarenje I.-VIII/2012</t>
  </si>
  <si>
    <t>Ostvarenje           I.-VIII/2012</t>
  </si>
  <si>
    <t>732 11</t>
  </si>
  <si>
    <t>Ostvarenje           2011</t>
  </si>
  <si>
    <t>Zakon o službi u vojsci FBiH</t>
  </si>
  <si>
    <t>614 3111</t>
  </si>
  <si>
    <t>Doprinos za zdrav. osig. za mirov.koje se financiraju iz proračuna BiH (2011 i 2012)</t>
  </si>
  <si>
    <t>Prijevoz robe ( zračni, cestovni i željezn.)</t>
  </si>
  <si>
    <t>Pomoć umirov./penzion. za liječenje preko udruga</t>
  </si>
  <si>
    <t>Tekuće potpore (grantovi) od FBIH po zakonu o pravima razvojačenih branitelja i članova njihovih obitelji Sl. u FBiH 61/06</t>
  </si>
  <si>
    <t>Tekuće potpore (grantovi) od FBiH  (Zakon o pravima branitelja i članova njihovih obitelji) Sl.FBiH 33/04,56/05,70/07</t>
  </si>
  <si>
    <t>Tekuće potpore i grantovi od FBIH (Zakon o MIO,"Sl.novine",broj:4/09 pokriće dijela mirovine temeljem priznatog posebnog staža, Članak 94.)</t>
  </si>
  <si>
    <t>Tekuće potpore i grantovi od FBIH (Zakon o MIO,"Sl.novine",broj:4/09 mirovine bivše JNA, Članak 139.)</t>
  </si>
  <si>
    <t>7(6/4)</t>
  </si>
  <si>
    <t>Kompjutorske usluge</t>
  </si>
  <si>
    <t>Ostvarenje        I.-VIII/2012</t>
  </si>
  <si>
    <t>Ostvarenje      I.-VIII/2012</t>
  </si>
  <si>
    <t>Ostvarenje     I.-VIII/2012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</si>
</sst>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000"/>
    <numFmt numFmtId="173" formatCode="#,##0.0000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#,##0.0000000000"/>
    <numFmt numFmtId="178" formatCode="#,##0.0"/>
    <numFmt numFmtId="179" formatCode="#,##0.00000000000000000000000"/>
    <numFmt numFmtId="180" formatCode="[$-41A]d\.\ mmmm\ yyyy\."/>
    <numFmt numFmtId="181" formatCode="0.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"/>
    <numFmt numFmtId="188" formatCode="[$-101A]d\.\ mmmm\ yyyy\."/>
  </numFmts>
  <fonts count="48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Arial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5" fillId="0" borderId="18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33" borderId="11" xfId="0" applyNumberFormat="1" applyFill="1" applyBorder="1" applyAlignment="1">
      <alignment horizontal="right" vertical="center"/>
    </xf>
    <xf numFmtId="4" fontId="0" fillId="33" borderId="16" xfId="0" applyNumberFormat="1" applyFill="1" applyBorder="1" applyAlignment="1">
      <alignment horizontal="right" vertical="center"/>
    </xf>
    <xf numFmtId="2" fontId="0" fillId="33" borderId="11" xfId="0" applyNumberForma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49" fontId="3" fillId="34" borderId="1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/>
    </xf>
    <xf numFmtId="49" fontId="3" fillId="34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0" fillId="33" borderId="37" xfId="0" applyNumberForma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" fontId="5" fillId="33" borderId="37" xfId="0" applyNumberFormat="1" applyFont="1" applyFill="1" applyBorder="1" applyAlignment="1">
      <alignment horizontal="right" vertical="center"/>
    </xf>
    <xf numFmtId="3" fontId="2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9" fontId="3" fillId="0" borderId="10" xfId="59" applyFont="1" applyBorder="1" applyAlignment="1">
      <alignment horizontal="center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3" fontId="0" fillId="33" borderId="11" xfId="56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7" fillId="29" borderId="15" xfId="48" applyNumberForma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49" fontId="3" fillId="34" borderId="36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right" vertical="center"/>
    </xf>
    <xf numFmtId="4" fontId="0" fillId="33" borderId="39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42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3" fontId="5" fillId="35" borderId="37" xfId="0" applyNumberFormat="1" applyFont="1" applyFill="1" applyBorder="1" applyAlignment="1">
      <alignment horizontal="right" vertical="center"/>
    </xf>
    <xf numFmtId="4" fontId="5" fillId="35" borderId="37" xfId="0" applyNumberFormat="1" applyFont="1" applyFill="1" applyBorder="1" applyAlignment="1">
      <alignment horizontal="right" vertical="center"/>
    </xf>
    <xf numFmtId="4" fontId="5" fillId="35" borderId="33" xfId="0" applyNumberFormat="1" applyFont="1" applyFill="1" applyBorder="1" applyAlignment="1">
      <alignment horizontal="right" vertical="center"/>
    </xf>
    <xf numFmtId="0" fontId="2" fillId="36" borderId="38" xfId="0" applyFont="1" applyFill="1" applyBorder="1" applyAlignment="1">
      <alignment horizontal="center" vertical="center"/>
    </xf>
    <xf numFmtId="4" fontId="5" fillId="35" borderId="39" xfId="0" applyNumberFormat="1" applyFont="1" applyFill="1" applyBorder="1" applyAlignment="1">
      <alignment horizontal="right" vertical="center"/>
    </xf>
    <xf numFmtId="4" fontId="5" fillId="35" borderId="34" xfId="0" applyNumberFormat="1" applyFont="1" applyFill="1" applyBorder="1" applyAlignment="1">
      <alignment horizontal="right" vertical="center"/>
    </xf>
    <xf numFmtId="49" fontId="3" fillId="36" borderId="36" xfId="0" applyNumberFormat="1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/>
    </xf>
    <xf numFmtId="4" fontId="0" fillId="35" borderId="37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4" fontId="0" fillId="33" borderId="37" xfId="0" applyNumberFormat="1" applyFont="1" applyFill="1" applyBorder="1" applyAlignment="1">
      <alignment horizontal="right" vertical="center"/>
    </xf>
    <xf numFmtId="49" fontId="3" fillId="34" borderId="43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4" fontId="0" fillId="33" borderId="42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32" xfId="0" applyNumberFormat="1" applyFont="1" applyFill="1" applyBorder="1" applyAlignment="1">
      <alignment horizontal="right" vertical="center"/>
    </xf>
    <xf numFmtId="4" fontId="0" fillId="33" borderId="45" xfId="0" applyNumberFormat="1" applyFont="1" applyFill="1" applyBorder="1" applyAlignment="1">
      <alignment horizontal="right" vertical="center"/>
    </xf>
    <xf numFmtId="4" fontId="0" fillId="35" borderId="33" xfId="0" applyNumberFormat="1" applyFont="1" applyFill="1" applyBorder="1" applyAlignment="1">
      <alignment horizontal="right" vertical="center"/>
    </xf>
    <xf numFmtId="4" fontId="0" fillId="33" borderId="33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33" borderId="0" xfId="0" applyNumberForma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2" fillId="31" borderId="14" xfId="56" applyNumberFormat="1" applyFont="1" applyBorder="1" applyAlignment="1">
      <alignment horizontal="right" vertical="center"/>
    </xf>
    <xf numFmtId="3" fontId="12" fillId="31" borderId="11" xfId="56" applyNumberFormat="1" applyFont="1" applyBorder="1" applyAlignment="1">
      <alignment horizontal="right" vertical="center"/>
    </xf>
    <xf numFmtId="3" fontId="13" fillId="29" borderId="11" xfId="48" applyNumberFormat="1" applyFont="1" applyBorder="1" applyAlignment="1">
      <alignment horizontal="right" vertical="center"/>
    </xf>
    <xf numFmtId="3" fontId="13" fillId="29" borderId="14" xfId="48" applyNumberFormat="1" applyFont="1" applyBorder="1" applyAlignment="1">
      <alignment horizontal="right" vertical="center"/>
    </xf>
    <xf numFmtId="3" fontId="13" fillId="29" borderId="13" xfId="48" applyNumberFormat="1" applyFont="1" applyBorder="1" applyAlignment="1">
      <alignment horizontal="right" vertical="center"/>
    </xf>
    <xf numFmtId="3" fontId="12" fillId="31" borderId="15" xfId="56" applyNumberFormat="1" applyFont="1" applyBorder="1" applyAlignment="1">
      <alignment horizontal="right" vertical="center"/>
    </xf>
    <xf numFmtId="3" fontId="5" fillId="0" borderId="0" xfId="0" applyNumberFormat="1" applyFont="1" applyAlignment="1" quotePrefix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49" fontId="3" fillId="34" borderId="46" xfId="0" applyNumberFormat="1" applyFont="1" applyFill="1" applyBorder="1" applyAlignment="1">
      <alignment horizontal="center" vertical="center"/>
    </xf>
    <xf numFmtId="3" fontId="0" fillId="0" borderId="47" xfId="0" applyNumberFormat="1" applyBorder="1" applyAlignment="1">
      <alignment horizontal="right" vertical="center"/>
    </xf>
    <xf numFmtId="3" fontId="12" fillId="31" borderId="47" xfId="56" applyNumberFormat="1" applyFont="1" applyBorder="1" applyAlignment="1">
      <alignment horizontal="right" vertical="center"/>
    </xf>
    <xf numFmtId="4" fontId="0" fillId="33" borderId="48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4" fontId="5" fillId="35" borderId="49" xfId="0" applyNumberFormat="1" applyFont="1" applyFill="1" applyBorder="1" applyAlignment="1">
      <alignment horizontal="right" vertical="center"/>
    </xf>
    <xf numFmtId="4" fontId="5" fillId="35" borderId="50" xfId="0" applyNumberFormat="1" applyFont="1" applyFill="1" applyBorder="1" applyAlignment="1">
      <alignment horizontal="right" vertical="center"/>
    </xf>
    <xf numFmtId="3" fontId="13" fillId="29" borderId="15" xfId="48" applyNumberFormat="1" applyFont="1" applyBorder="1" applyAlignment="1">
      <alignment horizontal="right" vertical="center"/>
    </xf>
    <xf numFmtId="3" fontId="5" fillId="35" borderId="37" xfId="0" applyNumberFormat="1" applyFont="1" applyFill="1" applyBorder="1" applyAlignment="1">
      <alignment horizontal="center" vertical="center" wrapText="1"/>
    </xf>
    <xf numFmtId="49" fontId="3" fillId="36" borderId="51" xfId="0" applyNumberFormat="1" applyFont="1" applyFill="1" applyBorder="1" applyAlignment="1">
      <alignment horizontal="center" vertical="center"/>
    </xf>
    <xf numFmtId="3" fontId="0" fillId="35" borderId="37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 wrapText="1"/>
    </xf>
    <xf numFmtId="3" fontId="13" fillId="29" borderId="16" xfId="48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29" borderId="25" xfId="48" applyFont="1" applyBorder="1" applyAlignment="1">
      <alignment horizontal="center" vertical="center"/>
    </xf>
    <xf numFmtId="0" fontId="13" fillId="29" borderId="23" xfId="48" applyFont="1" applyBorder="1" applyAlignment="1">
      <alignment horizontal="center" vertical="center"/>
    </xf>
    <xf numFmtId="3" fontId="13" fillId="29" borderId="23" xfId="48" applyNumberFormat="1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37" fillId="29" borderId="37" xfId="48" applyNumberFormat="1" applyBorder="1" applyAlignment="1">
      <alignment horizontal="right" vertical="center"/>
    </xf>
    <xf numFmtId="3" fontId="13" fillId="29" borderId="37" xfId="48" applyNumberFormat="1" applyFont="1" applyBorder="1" applyAlignment="1">
      <alignment horizontal="right" vertical="center" wrapText="1"/>
    </xf>
    <xf numFmtId="3" fontId="13" fillId="29" borderId="39" xfId="48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/>
    </xf>
    <xf numFmtId="4" fontId="0" fillId="33" borderId="21" xfId="0" applyNumberForma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center" vertical="center"/>
    </xf>
    <xf numFmtId="3" fontId="0" fillId="33" borderId="13" xfId="56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13" fillId="29" borderId="14" xfId="48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3" fontId="13" fillId="29" borderId="21" xfId="48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3" fontId="13" fillId="29" borderId="13" xfId="48" applyNumberFormat="1" applyFont="1" applyBorder="1" applyAlignment="1">
      <alignment horizontal="center" vertical="center"/>
    </xf>
    <xf numFmtId="3" fontId="13" fillId="29" borderId="35" xfId="48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4" fontId="0" fillId="37" borderId="14" xfId="0" applyNumberFormat="1" applyFont="1" applyFill="1" applyBorder="1" applyAlignment="1">
      <alignment horizontal="right" vertical="center"/>
    </xf>
    <xf numFmtId="4" fontId="0" fillId="37" borderId="20" xfId="0" applyNumberFormat="1" applyFont="1" applyFill="1" applyBorder="1" applyAlignment="1">
      <alignment horizontal="right" vertical="center"/>
    </xf>
    <xf numFmtId="3" fontId="13" fillId="29" borderId="23" xfId="48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4" fontId="0" fillId="33" borderId="16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 horizontal="right" vertical="center"/>
    </xf>
    <xf numFmtId="4" fontId="0" fillId="33" borderId="21" xfId="0" applyNumberForma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4" fontId="0" fillId="33" borderId="39" xfId="0" applyNumberFormat="1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2" fontId="0" fillId="33" borderId="16" xfId="0" applyNumberFormat="1" applyFont="1" applyFill="1" applyBorder="1" applyAlignment="1">
      <alignment horizontal="right" vertical="center"/>
    </xf>
    <xf numFmtId="2" fontId="0" fillId="33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28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7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2" fontId="0" fillId="33" borderId="16" xfId="0" applyNumberFormat="1" applyFill="1" applyBorder="1" applyAlignment="1">
      <alignment horizontal="right" vertical="center"/>
    </xf>
    <xf numFmtId="2" fontId="0" fillId="33" borderId="14" xfId="0" applyNumberFormat="1" applyFill="1" applyBorder="1" applyAlignment="1">
      <alignment horizontal="right" vertical="center"/>
    </xf>
    <xf numFmtId="2" fontId="0" fillId="33" borderId="21" xfId="0" applyNumberForma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4">
      <selection activeCell="K33" sqref="K33"/>
    </sheetView>
  </sheetViews>
  <sheetFormatPr defaultColWidth="9.140625" defaultRowHeight="12.75"/>
  <cols>
    <col min="1" max="1" width="5.57421875" style="1" customWidth="1"/>
    <col min="2" max="2" width="12.7109375" style="1" customWidth="1"/>
    <col min="3" max="4" width="12.421875" style="1" customWidth="1"/>
    <col min="5" max="5" width="12.57421875" style="1" customWidth="1"/>
    <col min="6" max="6" width="13.8515625" style="1" customWidth="1"/>
    <col min="7" max="7" width="9.140625" style="1" customWidth="1"/>
    <col min="8" max="8" width="8.57421875" style="1" customWidth="1"/>
    <col min="9" max="9" width="9.140625" style="1" customWidth="1"/>
    <col min="10" max="10" width="12.7109375" style="1" bestFit="1" customWidth="1"/>
    <col min="11" max="11" width="12.28125" style="1" bestFit="1" customWidth="1"/>
    <col min="12" max="16384" width="9.140625" style="1" customWidth="1"/>
  </cols>
  <sheetData>
    <row r="1" ht="12.75"/>
    <row r="2" ht="16.5" customHeight="1"/>
    <row r="3" ht="19.5" customHeight="1" thickBot="1">
      <c r="H3" s="1">
        <v>7</v>
      </c>
    </row>
    <row r="4" spans="1:8" s="17" customFormat="1" ht="37.5" customHeight="1">
      <c r="A4" s="259" t="s">
        <v>2</v>
      </c>
      <c r="B4" s="260" t="s">
        <v>3</v>
      </c>
      <c r="C4" s="261" t="s">
        <v>301</v>
      </c>
      <c r="D4" s="262" t="s">
        <v>153</v>
      </c>
      <c r="E4" s="262" t="s">
        <v>299</v>
      </c>
      <c r="F4" s="262" t="s">
        <v>177</v>
      </c>
      <c r="G4" s="262" t="s">
        <v>178</v>
      </c>
      <c r="H4" s="263" t="s">
        <v>179</v>
      </c>
    </row>
    <row r="5" spans="1:8" s="17" customFormat="1" ht="12.75" customHeight="1" hidden="1" thickBot="1">
      <c r="A5" s="36"/>
      <c r="B5" s="37"/>
      <c r="C5" s="200"/>
      <c r="D5" s="38"/>
      <c r="E5" s="38"/>
      <c r="F5" s="38"/>
      <c r="G5" s="34"/>
      <c r="H5" s="35"/>
    </row>
    <row r="6" spans="1:8" s="17" customFormat="1" ht="12.75" customHeight="1" thickBot="1">
      <c r="A6" s="269">
        <v>1</v>
      </c>
      <c r="B6" s="270">
        <v>2</v>
      </c>
      <c r="C6" s="270">
        <v>3</v>
      </c>
      <c r="D6" s="271">
        <v>4</v>
      </c>
      <c r="E6" s="271">
        <v>5</v>
      </c>
      <c r="F6" s="271">
        <v>6</v>
      </c>
      <c r="G6" s="272" t="s">
        <v>311</v>
      </c>
      <c r="H6" s="273">
        <v>8</v>
      </c>
    </row>
    <row r="7" spans="1:10" ht="33.75">
      <c r="A7" s="264" t="s">
        <v>101</v>
      </c>
      <c r="B7" s="265" t="s">
        <v>176</v>
      </c>
      <c r="C7" s="266">
        <f>SUM(rashodi1!C17,rashodi1!C19,rashodi5!C21,rashodi5!C32)</f>
        <v>1691138091.33</v>
      </c>
      <c r="D7" s="266">
        <f>SUM(rashodi1!D17,rashodi1!D19,rashodi5!D21,rashodi5!D32)</f>
        <v>1751931495</v>
      </c>
      <c r="E7" s="266">
        <f>SUM(rashodi1!E17,rashodi1!E19,rashodi5!E21,rashodi5!E32)</f>
        <v>1159876561.21</v>
      </c>
      <c r="F7" s="267">
        <f>SUM(rashodi1!F17,rashodi1!F19,rashodi5!F21,rashodi5!F32)</f>
        <v>1759809423</v>
      </c>
      <c r="G7" s="268">
        <f>F7/D7*100</f>
        <v>100.4496710072559</v>
      </c>
      <c r="H7" s="121">
        <f>F7/$F$9*100</f>
        <v>99.84964192846554</v>
      </c>
      <c r="I7" s="23"/>
      <c r="J7" s="11"/>
    </row>
    <row r="8" spans="1:8" ht="48.75" customHeight="1" thickBot="1">
      <c r="A8" s="252" t="s">
        <v>114</v>
      </c>
      <c r="B8" s="20" t="s">
        <v>102</v>
      </c>
      <c r="C8" s="209">
        <v>972248</v>
      </c>
      <c r="D8" s="45">
        <v>3000000</v>
      </c>
      <c r="E8" s="132">
        <v>1141690.65</v>
      </c>
      <c r="F8" s="278">
        <v>2650000</v>
      </c>
      <c r="G8" s="83">
        <f>F8/D8*100</f>
        <v>88.33333333333333</v>
      </c>
      <c r="H8" s="122">
        <f>F8/$F$9*100</f>
        <v>0.1503580715344503</v>
      </c>
    </row>
    <row r="9" spans="1:12" ht="31.5" customHeight="1" thickBot="1" thickTop="1">
      <c r="A9" s="116" t="s">
        <v>103</v>
      </c>
      <c r="B9" s="117" t="s">
        <v>175</v>
      </c>
      <c r="C9" s="210">
        <f>SUM(C7:C8)</f>
        <v>1692110339.33</v>
      </c>
      <c r="D9" s="210">
        <f>SUM(D7:D8)</f>
        <v>1754931495</v>
      </c>
      <c r="E9" s="210">
        <f>SUM(E7:E8)</f>
        <v>1161018251.8600001</v>
      </c>
      <c r="F9" s="250">
        <f>SUM(F7:F8)</f>
        <v>1762459423</v>
      </c>
      <c r="G9" s="118">
        <f>F9/D9*100</f>
        <v>100.42895851042893</v>
      </c>
      <c r="H9" s="119">
        <f>F9/$F$9*100</f>
        <v>100</v>
      </c>
      <c r="J9" s="11">
        <f>F9-D9</f>
        <v>7527928</v>
      </c>
      <c r="L9" s="23">
        <f>F8/D8*100</f>
        <v>88.33333333333333</v>
      </c>
    </row>
    <row r="10" spans="1:12" ht="0.75" customHeight="1" hidden="1">
      <c r="A10" s="28"/>
      <c r="B10" s="29"/>
      <c r="C10" s="214"/>
      <c r="D10" s="42"/>
      <c r="E10" s="43"/>
      <c r="F10" s="242"/>
      <c r="G10" s="43"/>
      <c r="H10" s="121">
        <f>F10/$D$9*100</f>
        <v>0</v>
      </c>
      <c r="L10" s="23"/>
    </row>
    <row r="11" spans="1:12" ht="33" customHeight="1" hidden="1">
      <c r="A11" s="12"/>
      <c r="B11" s="7"/>
      <c r="C11" s="207"/>
      <c r="D11" s="30"/>
      <c r="E11" s="40"/>
      <c r="F11" s="243"/>
      <c r="G11" s="40"/>
      <c r="H11" s="69">
        <f>F11/$D$9*100</f>
        <v>0</v>
      </c>
      <c r="L11" s="23"/>
    </row>
    <row r="12" spans="1:12" ht="36.75" customHeight="1" hidden="1">
      <c r="A12" s="12"/>
      <c r="B12" s="4"/>
      <c r="C12" s="208"/>
      <c r="D12" s="30"/>
      <c r="E12" s="40"/>
      <c r="F12" s="243"/>
      <c r="G12" s="40"/>
      <c r="H12" s="69">
        <f>F12/$D$9*100</f>
        <v>0</v>
      </c>
      <c r="L12" s="23"/>
    </row>
    <row r="13" spans="1:12" ht="36.75" customHeight="1" thickTop="1">
      <c r="A13" s="12" t="s">
        <v>116</v>
      </c>
      <c r="B13" s="4" t="s">
        <v>117</v>
      </c>
      <c r="C13" s="208"/>
      <c r="D13" s="30"/>
      <c r="E13" s="40"/>
      <c r="F13" s="282">
        <v>46614900</v>
      </c>
      <c r="G13" s="40"/>
      <c r="H13" s="31"/>
      <c r="J13" s="23">
        <f>F9*100/D9</f>
        <v>100.42895851042893</v>
      </c>
      <c r="L13" s="23">
        <f>100-L9</f>
        <v>11.666666666666671</v>
      </c>
    </row>
    <row r="14" spans="1:8" ht="33" customHeight="1">
      <c r="A14" s="3"/>
      <c r="B14" s="240" t="s">
        <v>115</v>
      </c>
      <c r="C14" s="222"/>
      <c r="D14" s="27"/>
      <c r="E14" s="114"/>
      <c r="F14" s="244"/>
      <c r="G14" s="40"/>
      <c r="H14" s="31"/>
    </row>
    <row r="15" spans="1:8" ht="30" customHeight="1" thickBot="1">
      <c r="A15" s="13"/>
      <c r="B15" s="241" t="s">
        <v>104</v>
      </c>
      <c r="C15" s="223">
        <f>C9-prihodi!C36</f>
        <v>51805469.30999994</v>
      </c>
      <c r="D15" s="26">
        <f>D9-prihodi!D36</f>
        <v>0</v>
      </c>
      <c r="E15" s="133">
        <f>E9-prihodi!E36</f>
        <v>37499850.71000004</v>
      </c>
      <c r="F15" s="277">
        <f>prihodi!F36-rashodi!F9+F13</f>
        <v>0.49000000953674316</v>
      </c>
      <c r="G15" s="41"/>
      <c r="H15" s="33"/>
    </row>
    <row r="16" ht="12.75"/>
    <row r="17" spans="1:8" ht="1.5" customHeight="1">
      <c r="A17" s="283"/>
      <c r="B17" s="283"/>
      <c r="C17" s="283"/>
      <c r="D17" s="283"/>
      <c r="E17" s="283"/>
      <c r="F17" s="283"/>
      <c r="G17" s="283"/>
      <c r="H17" s="283"/>
    </row>
    <row r="18" spans="1:7" ht="12.75" customHeight="1" hidden="1">
      <c r="A18" s="170"/>
      <c r="B18" s="170"/>
      <c r="C18" s="284" t="s">
        <v>297</v>
      </c>
      <c r="D18" s="285"/>
      <c r="E18" s="285"/>
      <c r="F18" s="285"/>
      <c r="G18" s="286"/>
    </row>
    <row r="19" spans="3:7" ht="29.25" customHeight="1" hidden="1">
      <c r="C19" s="245"/>
      <c r="D19" s="245" t="s">
        <v>288</v>
      </c>
      <c r="E19" s="245" t="s">
        <v>285</v>
      </c>
      <c r="F19" s="245" t="s">
        <v>296</v>
      </c>
      <c r="G19" s="245" t="s">
        <v>285</v>
      </c>
    </row>
    <row r="20" spans="3:11" ht="17.25" customHeight="1" hidden="1">
      <c r="C20" s="137" t="s">
        <v>286</v>
      </c>
      <c r="D20" s="138">
        <f>SUM(rashodi1!F4:F16,rashodi1!F18,rashodi2!F9:F28,rashodi2!F30:F31,rashodi3!F4:F8,rashodi3!F10:F28,rashodi4!F4:F11,rashodi4!F15:F29,rashodi5!F4:F20,rashodi5!F29:F30,rashodi!F8)</f>
        <v>35764310</v>
      </c>
      <c r="E20" s="139">
        <f>D20*100/$D$22</f>
        <v>2.0292274269283985</v>
      </c>
      <c r="F20" s="138">
        <f>SUM(rashodi1!F4:F16,rashodi1!F18,rashodi2!F9:F28,rashodi2!F30:F31,rashodi3!F4:F28,rashodi4!F4:F11,rashodi4!F15:F23,rashodi4!F27:F29,rashodi5!F4:F20,rashodi5!F29:F30,rashodi!F8)</f>
        <v>35629310</v>
      </c>
      <c r="G20" s="139">
        <f>F20*100/$F$22</f>
        <v>2.0215676761143793</v>
      </c>
      <c r="J20" s="11"/>
      <c r="K20" s="23"/>
    </row>
    <row r="21" spans="2:11" ht="20.25" customHeight="1" hidden="1" thickBot="1">
      <c r="B21" s="23"/>
      <c r="C21" s="188" t="s">
        <v>287</v>
      </c>
      <c r="D21" s="189">
        <f>SUM(rashodi2!F29,rashodi3!F9,rashodi4!F12:F14,rashodi5!F22:F28,rashodi5!F31)</f>
        <v>1726695113</v>
      </c>
      <c r="E21" s="190">
        <f>D21*100/$D$22</f>
        <v>97.9707725730716</v>
      </c>
      <c r="F21" s="189">
        <f>SUM(rashodi2!F29,rashodi4!F12:F14,rashodi4!F24:F26,rashodi5!F22:F28,rashodi5!F31)</f>
        <v>1726830113</v>
      </c>
      <c r="G21" s="190">
        <f>F21*100/$F$22</f>
        <v>97.97843232388563</v>
      </c>
      <c r="J21" s="11"/>
      <c r="K21" s="23"/>
    </row>
    <row r="22" spans="3:11" ht="18" customHeight="1" hidden="1" thickTop="1">
      <c r="C22" s="185" t="s">
        <v>6</v>
      </c>
      <c r="D22" s="186">
        <f>SUM(D20:D21)</f>
        <v>1762459423</v>
      </c>
      <c r="E22" s="187">
        <f>D22*100/$D$22</f>
        <v>100</v>
      </c>
      <c r="F22" s="186">
        <f>SUM(F20:F21)</f>
        <v>1762459423</v>
      </c>
      <c r="G22" s="187">
        <f>F22*100/$F$22</f>
        <v>100</v>
      </c>
      <c r="J22" s="11"/>
      <c r="K22" s="23"/>
    </row>
    <row r="23" ht="12.75" hidden="1"/>
    <row r="24" spans="5:6" ht="12.75" hidden="1">
      <c r="E24" s="279">
        <f>SUM(rashodi1!F4:F16,rashodi1!F18,rashodi2!F9:F28,rashodi2!F30:F31,rashodi3!F4:F8,rashodi3!F10:F28,rashodi4!F4:F11,rashodi4!F15:F23,rashodi4!F27:F29,rashodi5!F4:F20,rashodi5!F29:F30,rashodi!F8)</f>
        <v>35329310</v>
      </c>
      <c r="F24" s="23">
        <f>E24/$E$26*100</f>
        <v>2.0045460076387815</v>
      </c>
    </row>
    <row r="25" spans="5:6" ht="12.75" hidden="1">
      <c r="E25" s="11">
        <f>SUM(rashodi2!F29,rashodi3!F9,rashodi4!F12:F14,rashodi4!F24:F26,rashodi5!F22:F28,rashodi5!F31)</f>
        <v>1727130113</v>
      </c>
      <c r="F25" s="23">
        <f>E25/$E$26*100</f>
        <v>97.99545399236122</v>
      </c>
    </row>
    <row r="26" spans="5:6" ht="17.25" customHeight="1" hidden="1">
      <c r="E26" s="176">
        <f>SUM(E24:E25)</f>
        <v>1762459423</v>
      </c>
      <c r="F26" s="235">
        <f>E26/$E$26*100</f>
        <v>100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7" ht="12.75"/>
    <row r="38" ht="12.75"/>
  </sheetData>
  <sheetProtection/>
  <mergeCells count="2">
    <mergeCell ref="A17:H17"/>
    <mergeCell ref="C18:G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9">
      <selection activeCell="F32" sqref="F32"/>
    </sheetView>
  </sheetViews>
  <sheetFormatPr defaultColWidth="9.140625" defaultRowHeight="12.75"/>
  <cols>
    <col min="1" max="1" width="8.28125" style="1" customWidth="1"/>
    <col min="2" max="2" width="17.00390625" style="1" customWidth="1"/>
    <col min="3" max="3" width="12.421875" style="1" customWidth="1"/>
    <col min="4" max="4" width="12.57421875" style="1" customWidth="1"/>
    <col min="5" max="5" width="12.421875" style="1" customWidth="1"/>
    <col min="6" max="6" width="14.28125" style="1" customWidth="1"/>
    <col min="7" max="7" width="9.28125" style="1" customWidth="1"/>
    <col min="8" max="8" width="8.7109375" style="1" customWidth="1"/>
    <col min="9" max="10" width="12.57421875" style="1" customWidth="1"/>
    <col min="11" max="12" width="9.140625" style="1" customWidth="1"/>
    <col min="13" max="14" width="10.140625" style="1" bestFit="1" customWidth="1"/>
    <col min="15" max="16384" width="9.140625" style="1" customWidth="1"/>
  </cols>
  <sheetData>
    <row r="1" ht="11.25" customHeight="1" thickBot="1">
      <c r="H1" s="1">
        <v>6</v>
      </c>
    </row>
    <row r="2" spans="1:10" s="17" customFormat="1" ht="34.5" customHeight="1">
      <c r="A2" s="259" t="s">
        <v>2</v>
      </c>
      <c r="B2" s="260" t="s">
        <v>3</v>
      </c>
      <c r="C2" s="261" t="s">
        <v>301</v>
      </c>
      <c r="D2" s="262" t="s">
        <v>153</v>
      </c>
      <c r="E2" s="262" t="s">
        <v>299</v>
      </c>
      <c r="F2" s="262" t="s">
        <v>177</v>
      </c>
      <c r="G2" s="262" t="s">
        <v>178</v>
      </c>
      <c r="H2" s="263" t="s">
        <v>179</v>
      </c>
      <c r="I2" s="192"/>
      <c r="J2" s="192"/>
    </row>
    <row r="3" spans="1:10" ht="12.75" customHeight="1" thickBot="1">
      <c r="A3" s="269">
        <v>1</v>
      </c>
      <c r="B3" s="270">
        <v>2</v>
      </c>
      <c r="C3" s="270">
        <v>3</v>
      </c>
      <c r="D3" s="271">
        <v>4</v>
      </c>
      <c r="E3" s="271">
        <v>5</v>
      </c>
      <c r="F3" s="271">
        <v>6</v>
      </c>
      <c r="G3" s="272" t="s">
        <v>311</v>
      </c>
      <c r="H3" s="273">
        <v>8</v>
      </c>
      <c r="I3" s="191"/>
      <c r="J3" s="191"/>
    </row>
    <row r="4" spans="1:10" ht="22.5" customHeight="1">
      <c r="A4" s="12" t="s">
        <v>238</v>
      </c>
      <c r="B4" s="4" t="s">
        <v>237</v>
      </c>
      <c r="C4" s="208">
        <v>236.64</v>
      </c>
      <c r="D4" s="290">
        <v>0</v>
      </c>
      <c r="E4" s="6">
        <v>181</v>
      </c>
      <c r="F4" s="179">
        <v>0</v>
      </c>
      <c r="G4" s="287">
        <v>0</v>
      </c>
      <c r="H4" s="65">
        <f>F4/rashodi!$F$9*100</f>
        <v>0</v>
      </c>
      <c r="I4" s="197"/>
      <c r="J4" s="197"/>
    </row>
    <row r="5" spans="1:13" ht="31.5" customHeight="1">
      <c r="A5" s="12" t="s">
        <v>236</v>
      </c>
      <c r="B5" s="4" t="s">
        <v>239</v>
      </c>
      <c r="C5" s="208">
        <v>63.36</v>
      </c>
      <c r="D5" s="292"/>
      <c r="E5" s="6">
        <v>119</v>
      </c>
      <c r="F5" s="179">
        <v>0</v>
      </c>
      <c r="G5" s="288"/>
      <c r="H5" s="65">
        <f>F5/rashodi!$F$9*100</f>
        <v>0</v>
      </c>
      <c r="I5" s="197"/>
      <c r="J5" s="197"/>
      <c r="M5" s="140"/>
    </row>
    <row r="6" spans="1:14" ht="22.5" customHeight="1">
      <c r="A6" s="12" t="s">
        <v>118</v>
      </c>
      <c r="B6" s="4" t="s">
        <v>266</v>
      </c>
      <c r="C6" s="208">
        <v>110561.79</v>
      </c>
      <c r="D6" s="290">
        <v>220000</v>
      </c>
      <c r="E6" s="6">
        <v>84093.78</v>
      </c>
      <c r="F6" s="179">
        <v>211200</v>
      </c>
      <c r="G6" s="287">
        <f>(F6+F7+F8+F9+F10+F11)/D6*100</f>
        <v>117.86818181818181</v>
      </c>
      <c r="H6" s="65">
        <f>F6/rashodi!$F$9*100</f>
        <v>0.011983254606821096</v>
      </c>
      <c r="I6" s="197"/>
      <c r="J6" s="239"/>
      <c r="K6" s="239"/>
      <c r="L6" s="23"/>
      <c r="M6" s="23"/>
      <c r="N6" s="23"/>
    </row>
    <row r="7" spans="1:14" ht="32.25" customHeight="1">
      <c r="A7" s="12" t="s">
        <v>257</v>
      </c>
      <c r="B7" s="4" t="s">
        <v>258</v>
      </c>
      <c r="C7" s="208">
        <v>608.76</v>
      </c>
      <c r="D7" s="291"/>
      <c r="E7" s="6">
        <v>385.52</v>
      </c>
      <c r="F7" s="179">
        <v>1055</v>
      </c>
      <c r="G7" s="289"/>
      <c r="H7" s="65">
        <f>F7/rashodi!$F$9*100</f>
        <v>5.985953413918682E-05</v>
      </c>
      <c r="I7" s="197"/>
      <c r="J7" s="239"/>
      <c r="K7" s="239"/>
      <c r="L7" s="23"/>
      <c r="M7" s="23"/>
      <c r="N7" s="23"/>
    </row>
    <row r="8" spans="1:14" ht="22.5" customHeight="1">
      <c r="A8" s="12" t="s">
        <v>259</v>
      </c>
      <c r="B8" s="4" t="s">
        <v>260</v>
      </c>
      <c r="C8" s="208">
        <v>608.76</v>
      </c>
      <c r="D8" s="291"/>
      <c r="E8" s="6">
        <v>385.52</v>
      </c>
      <c r="F8" s="179">
        <v>1055</v>
      </c>
      <c r="G8" s="289"/>
      <c r="H8" s="65">
        <f>F8/rashodi!$F$9*100</f>
        <v>5.985953413918682E-05</v>
      </c>
      <c r="I8" s="197"/>
      <c r="J8" s="239"/>
      <c r="K8" s="239"/>
      <c r="L8" s="23"/>
      <c r="M8" s="23"/>
      <c r="N8" s="23"/>
    </row>
    <row r="9" spans="1:14" ht="32.25" customHeight="1">
      <c r="A9" s="12" t="s">
        <v>261</v>
      </c>
      <c r="B9" s="4" t="s">
        <v>275</v>
      </c>
      <c r="C9" s="208">
        <v>5717.55</v>
      </c>
      <c r="D9" s="291"/>
      <c r="E9" s="6">
        <v>3568.44</v>
      </c>
      <c r="F9" s="179">
        <v>9000</v>
      </c>
      <c r="G9" s="289"/>
      <c r="H9" s="65">
        <f>F9/rashodi!$F$9*100</f>
        <v>0.0005106500542679444</v>
      </c>
      <c r="I9" s="197"/>
      <c r="J9" s="239"/>
      <c r="K9" s="239"/>
      <c r="L9" s="23"/>
      <c r="M9" s="23"/>
      <c r="N9" s="23"/>
    </row>
    <row r="10" spans="1:14" ht="32.25" customHeight="1">
      <c r="A10" s="12" t="s">
        <v>262</v>
      </c>
      <c r="B10" s="4" t="s">
        <v>264</v>
      </c>
      <c r="C10" s="208">
        <v>8454.27</v>
      </c>
      <c r="D10" s="291"/>
      <c r="E10" s="6">
        <v>5352.52</v>
      </c>
      <c r="F10" s="179">
        <v>14000</v>
      </c>
      <c r="G10" s="289"/>
      <c r="H10" s="65">
        <f>F10/rashodi!$F$9*100</f>
        <v>0.0007943445288612469</v>
      </c>
      <c r="I10" s="197"/>
      <c r="J10" s="239"/>
      <c r="K10" s="239"/>
      <c r="L10" s="23"/>
      <c r="M10" s="23"/>
      <c r="N10" s="23"/>
    </row>
    <row r="11" spans="1:14" ht="32.25" customHeight="1">
      <c r="A11" s="12" t="s">
        <v>263</v>
      </c>
      <c r="B11" s="4" t="s">
        <v>265</v>
      </c>
      <c r="C11" s="208">
        <v>13445.62</v>
      </c>
      <c r="D11" s="292"/>
      <c r="E11" s="6">
        <v>8564.15</v>
      </c>
      <c r="F11" s="179">
        <v>23000</v>
      </c>
      <c r="G11" s="288"/>
      <c r="H11" s="65">
        <f>F11/rashodi!$F$9*100</f>
        <v>0.0013049945831291913</v>
      </c>
      <c r="I11" s="197"/>
      <c r="J11" s="239"/>
      <c r="K11" s="239"/>
      <c r="L11" s="23"/>
      <c r="M11" s="23"/>
      <c r="N11" s="23"/>
    </row>
    <row r="12" spans="1:14" ht="22.5" customHeight="1">
      <c r="A12" s="12" t="s">
        <v>119</v>
      </c>
      <c r="B12" s="4" t="s">
        <v>121</v>
      </c>
      <c r="C12" s="208">
        <v>71909.85</v>
      </c>
      <c r="D12" s="290">
        <v>100000</v>
      </c>
      <c r="E12" s="6">
        <v>40167.85</v>
      </c>
      <c r="F12" s="179">
        <v>80000</v>
      </c>
      <c r="G12" s="287">
        <f>(F12+F13+F14+F15+F16+F17)/D12*100</f>
        <v>94</v>
      </c>
      <c r="H12" s="65">
        <f>F12/rashodi!$F$9*100</f>
        <v>0.004539111593492839</v>
      </c>
      <c r="I12" s="197"/>
      <c r="J12" s="236"/>
      <c r="K12" s="237"/>
      <c r="L12" s="23"/>
      <c r="M12" s="23"/>
      <c r="N12" s="23"/>
    </row>
    <row r="13" spans="1:11" ht="32.25" customHeight="1">
      <c r="A13" s="12" t="s">
        <v>267</v>
      </c>
      <c r="B13" s="4" t="s">
        <v>272</v>
      </c>
      <c r="C13" s="208">
        <v>409.42</v>
      </c>
      <c r="D13" s="291"/>
      <c r="E13" s="6">
        <v>182.49</v>
      </c>
      <c r="F13" s="179">
        <v>400</v>
      </c>
      <c r="G13" s="289"/>
      <c r="H13" s="65">
        <f>F13/rashodi!$F$9*100</f>
        <v>2.2695557967464196E-05</v>
      </c>
      <c r="I13" s="197"/>
      <c r="J13" s="236"/>
      <c r="K13" s="237"/>
    </row>
    <row r="14" spans="1:11" ht="22.5" customHeight="1">
      <c r="A14" s="12" t="s">
        <v>268</v>
      </c>
      <c r="B14" s="4" t="s">
        <v>273</v>
      </c>
      <c r="C14" s="208">
        <v>409.42</v>
      </c>
      <c r="D14" s="291"/>
      <c r="E14" s="6">
        <v>182.49</v>
      </c>
      <c r="F14" s="179">
        <v>400</v>
      </c>
      <c r="G14" s="289"/>
      <c r="H14" s="65">
        <f>F14/rashodi!$F$9*100</f>
        <v>2.2695557967464196E-05</v>
      </c>
      <c r="I14" s="197"/>
      <c r="J14" s="236"/>
      <c r="K14" s="237"/>
    </row>
    <row r="15" spans="1:11" ht="22.5" customHeight="1">
      <c r="A15" s="12" t="s">
        <v>269</v>
      </c>
      <c r="B15" s="4" t="s">
        <v>274</v>
      </c>
      <c r="C15" s="208">
        <v>2668.46</v>
      </c>
      <c r="D15" s="291"/>
      <c r="E15" s="6">
        <v>1330.45</v>
      </c>
      <c r="F15" s="179">
        <v>2700</v>
      </c>
      <c r="G15" s="289"/>
      <c r="H15" s="65">
        <f>F15/rashodi!$F$9*100</f>
        <v>0.0001531950162803833</v>
      </c>
      <c r="I15" s="197"/>
      <c r="J15" s="236"/>
      <c r="K15" s="237"/>
    </row>
    <row r="16" spans="1:11" ht="33" customHeight="1">
      <c r="A16" s="12" t="s">
        <v>270</v>
      </c>
      <c r="B16" s="4" t="s">
        <v>276</v>
      </c>
      <c r="C16" s="208">
        <v>4065.05</v>
      </c>
      <c r="D16" s="291"/>
      <c r="E16" s="6">
        <v>1955.24</v>
      </c>
      <c r="F16" s="179">
        <v>4000</v>
      </c>
      <c r="G16" s="289"/>
      <c r="H16" s="65">
        <f>F16/rashodi!$F$9*100</f>
        <v>0.00022695557967464198</v>
      </c>
      <c r="I16" s="197"/>
      <c r="J16" s="236"/>
      <c r="K16" s="237"/>
    </row>
    <row r="17" spans="1:11" ht="31.5" customHeight="1">
      <c r="A17" s="12" t="s">
        <v>271</v>
      </c>
      <c r="B17" s="4" t="s">
        <v>277</v>
      </c>
      <c r="C17" s="208">
        <v>6575.6</v>
      </c>
      <c r="D17" s="292"/>
      <c r="E17" s="6">
        <v>3214.61</v>
      </c>
      <c r="F17" s="179">
        <v>6500</v>
      </c>
      <c r="G17" s="288"/>
      <c r="H17" s="65">
        <f>F17/rashodi!$F$9*100</f>
        <v>0.0003688028169712932</v>
      </c>
      <c r="I17" s="197"/>
      <c r="J17" s="236"/>
      <c r="K17" s="237"/>
    </row>
    <row r="18" spans="1:11" ht="22.5" customHeight="1">
      <c r="A18" s="12" t="s">
        <v>241</v>
      </c>
      <c r="B18" s="4" t="s">
        <v>242</v>
      </c>
      <c r="C18" s="208">
        <v>70005.37</v>
      </c>
      <c r="D18" s="290">
        <v>148805</v>
      </c>
      <c r="E18" s="6">
        <v>42980.23</v>
      </c>
      <c r="F18" s="179">
        <v>70000</v>
      </c>
      <c r="G18" s="287">
        <f>(F18+F19)/D18*100</f>
        <v>94.08286011894762</v>
      </c>
      <c r="H18" s="65">
        <f>F18/rashodi!$F$9*100</f>
        <v>0.003971722644306235</v>
      </c>
      <c r="I18" s="197"/>
      <c r="J18" s="238"/>
      <c r="K18" s="238"/>
    </row>
    <row r="19" spans="1:11" ht="19.5" customHeight="1">
      <c r="A19" s="12" t="s">
        <v>240</v>
      </c>
      <c r="B19" s="92" t="s">
        <v>120</v>
      </c>
      <c r="C19" s="208">
        <v>70005.37</v>
      </c>
      <c r="D19" s="292"/>
      <c r="E19" s="101">
        <v>42980.23</v>
      </c>
      <c r="F19" s="179">
        <v>70000</v>
      </c>
      <c r="G19" s="288"/>
      <c r="H19" s="65">
        <f>F19/rashodi!$F$9*100</f>
        <v>0.003971722644306235</v>
      </c>
      <c r="I19" s="197"/>
      <c r="J19" s="238"/>
      <c r="K19" s="238"/>
    </row>
    <row r="20" spans="1:10" ht="22.5" customHeight="1" thickBot="1">
      <c r="A20" s="82" t="s">
        <v>91</v>
      </c>
      <c r="B20" s="20" t="s">
        <v>92</v>
      </c>
      <c r="C20" s="209">
        <v>19843.61</v>
      </c>
      <c r="D20" s="44">
        <v>100000</v>
      </c>
      <c r="E20" s="44">
        <v>32510.55</v>
      </c>
      <c r="F20" s="179">
        <v>80000</v>
      </c>
      <c r="G20" s="79">
        <f>F20/D20*100</f>
        <v>80</v>
      </c>
      <c r="H20" s="65">
        <f>F20/rashodi!$F$9*100</f>
        <v>0.004539111593492839</v>
      </c>
      <c r="I20" s="197"/>
      <c r="J20" s="197"/>
    </row>
    <row r="21" spans="1:15" ht="24.75" customHeight="1" thickBot="1" thickTop="1">
      <c r="A21" s="84">
        <v>613</v>
      </c>
      <c r="B21" s="85" t="s">
        <v>148</v>
      </c>
      <c r="C21" s="248">
        <f>SUM(rashodi2!C9:C31,rashodi3!C4:C28,rashodi4!C4:C29,C4:C20)</f>
        <v>15517823.729999995</v>
      </c>
      <c r="D21" s="248">
        <f>SUM(rashodi2!D9:D31,rashodi3!D4:D28,rashodi4!D4:D29,D4:D20)</f>
        <v>17079276</v>
      </c>
      <c r="E21" s="248">
        <f>SUM(rashodi2!E9:E31,rashodi3!E4:E28,rashodi4!E4:E29,E4:E20)</f>
        <v>9402555.329999994</v>
      </c>
      <c r="F21" s="250">
        <f>SUM(rashodi2!F9:F31,rashodi3!F4:F28,rashodi4!F4:F29,F4:F20)</f>
        <v>15404310</v>
      </c>
      <c r="G21" s="103">
        <f>F21/D21*100</f>
        <v>90.19299178723969</v>
      </c>
      <c r="H21" s="63">
        <f>F21/rashodi!$F$9*100</f>
        <v>0.8740235263844709</v>
      </c>
      <c r="I21" s="197"/>
      <c r="J21" s="197"/>
      <c r="L21" s="11"/>
      <c r="M21" s="11"/>
      <c r="N21" s="11"/>
      <c r="O21" s="11"/>
    </row>
    <row r="22" spans="1:10" ht="22.5" customHeight="1" thickTop="1">
      <c r="A22" s="53" t="s">
        <v>93</v>
      </c>
      <c r="B22" s="29" t="s">
        <v>94</v>
      </c>
      <c r="C22" s="214">
        <f>1377502698.6+23009302.71+12342094.19+13243081.5+18113353.2+86150</f>
        <v>1444296680.2</v>
      </c>
      <c r="D22" s="19">
        <v>1419493100</v>
      </c>
      <c r="E22" s="130">
        <f>940363688.54+0+8280589.27+0+0+84700</f>
        <v>948728977.81</v>
      </c>
      <c r="F22" s="180">
        <v>1454914176</v>
      </c>
      <c r="G22" s="78">
        <f>F22/D22*100</f>
        <v>102.49533273532643</v>
      </c>
      <c r="H22" s="68">
        <f>F22/rashodi!$F$9*100</f>
        <v>82.55022254773351</v>
      </c>
      <c r="I22" s="197"/>
      <c r="J22" s="191">
        <f>H22+H23</f>
        <v>96.22078090815711</v>
      </c>
    </row>
    <row r="23" spans="1:10" ht="32.25" customHeight="1">
      <c r="A23" s="53" t="s">
        <v>93</v>
      </c>
      <c r="B23" s="21" t="s">
        <v>122</v>
      </c>
      <c r="C23" s="213">
        <f>18478724.64+24639486.69+34246825.72+8810183.35+5368503.65+84307356.04+5093072.77+956256.88+285415.3</f>
        <v>182185825.04000002</v>
      </c>
      <c r="D23" s="6">
        <v>241677577</v>
      </c>
      <c r="E23" s="19">
        <f>20829366.39+27627187.58+21428154.15+6833325.41+3449446.23+59353652.69+3673980.3+7446608.26+2200556.66+311536.27</f>
        <v>153153813.94</v>
      </c>
      <c r="F23" s="180">
        <v>240938044</v>
      </c>
      <c r="G23" s="78">
        <f>F23/D23*100</f>
        <v>99.69400015955969</v>
      </c>
      <c r="H23" s="65">
        <f>F23/rashodi!$F$9*100</f>
        <v>13.670558360423598</v>
      </c>
      <c r="I23" s="197"/>
      <c r="J23" s="197"/>
    </row>
    <row r="24" spans="1:10" ht="32.25" customHeight="1">
      <c r="A24" s="53" t="s">
        <v>93</v>
      </c>
      <c r="B24" s="21" t="s">
        <v>167</v>
      </c>
      <c r="C24" s="213">
        <v>0</v>
      </c>
      <c r="D24" s="6">
        <f>11855568*2</f>
        <v>23711136</v>
      </c>
      <c r="E24" s="19">
        <v>15647139.58</v>
      </c>
      <c r="F24" s="180">
        <v>0</v>
      </c>
      <c r="G24" s="78">
        <f aca="true" t="shared" si="0" ref="G24:G32">F24/D24*100</f>
        <v>0</v>
      </c>
      <c r="H24" s="65">
        <f>F24/rashodi!$F$9*100</f>
        <v>0</v>
      </c>
      <c r="I24" s="197"/>
      <c r="J24" s="197"/>
    </row>
    <row r="25" spans="1:10" ht="22.5" customHeight="1">
      <c r="A25" s="14" t="s">
        <v>95</v>
      </c>
      <c r="B25" s="4" t="s">
        <v>149</v>
      </c>
      <c r="C25" s="208">
        <v>2134529.05</v>
      </c>
      <c r="D25" s="6">
        <v>2296650</v>
      </c>
      <c r="E25" s="19">
        <v>1421167.46</v>
      </c>
      <c r="F25" s="180">
        <v>2222190</v>
      </c>
      <c r="G25" s="78">
        <f t="shared" si="0"/>
        <v>96.75788648683952</v>
      </c>
      <c r="H25" s="65">
        <f>F25/rashodi!$F$9*100</f>
        <v>0.12608460489929815</v>
      </c>
      <c r="I25" s="197"/>
      <c r="J25" s="197">
        <f>F25-D25</f>
        <v>-74460</v>
      </c>
    </row>
    <row r="26" spans="1:11" ht="22.5" customHeight="1">
      <c r="A26" s="14" t="s">
        <v>96</v>
      </c>
      <c r="B26" s="7" t="s">
        <v>97</v>
      </c>
      <c r="C26" s="207">
        <f>18734005.77-C27</f>
        <v>16547775.86952</v>
      </c>
      <c r="D26" s="6">
        <f>17342676-308759</f>
        <v>17033917</v>
      </c>
      <c r="E26" s="19">
        <f>13073958.77-E27-E28</f>
        <v>11048347.32776</v>
      </c>
      <c r="F26" s="180">
        <v>17458970</v>
      </c>
      <c r="G26" s="78">
        <f t="shared" si="0"/>
        <v>102.49533328124119</v>
      </c>
      <c r="H26" s="65">
        <f>F26/rashodi!$F$9*100</f>
        <v>0.990602664218046</v>
      </c>
      <c r="I26" s="197"/>
      <c r="J26" s="239"/>
      <c r="K26" s="239"/>
    </row>
    <row r="27" spans="1:11" ht="22.5" customHeight="1">
      <c r="A27" s="14" t="s">
        <v>96</v>
      </c>
      <c r="B27" s="4" t="s">
        <v>123</v>
      </c>
      <c r="C27" s="208">
        <f>C23*1.2%</f>
        <v>2186229.9004800003</v>
      </c>
      <c r="D27" s="6">
        <v>2935355</v>
      </c>
      <c r="E27" s="19">
        <f>E23*1.2%</f>
        <v>1837845.76728</v>
      </c>
      <c r="F27" s="180">
        <v>2891733</v>
      </c>
      <c r="G27" s="78">
        <f t="shared" si="0"/>
        <v>98.51391058321735</v>
      </c>
      <c r="H27" s="65">
        <f>F27/rashodi!$F$9*100</f>
        <v>0.16407373481982285</v>
      </c>
      <c r="I27" s="197"/>
      <c r="J27" s="239"/>
      <c r="K27" s="239"/>
    </row>
    <row r="28" spans="1:10" ht="42.75" customHeight="1">
      <c r="A28" s="14" t="s">
        <v>96</v>
      </c>
      <c r="B28" s="4" t="s">
        <v>304</v>
      </c>
      <c r="C28" s="208">
        <v>0</v>
      </c>
      <c r="D28" s="6">
        <f>142267*2</f>
        <v>284534</v>
      </c>
      <c r="E28" s="19">
        <f>E24*1.2%</f>
        <v>187765.67496</v>
      </c>
      <c r="F28" s="180">
        <v>0</v>
      </c>
      <c r="G28" s="78">
        <f t="shared" si="0"/>
        <v>0</v>
      </c>
      <c r="H28" s="65">
        <f>F28/rashodi!$F$9*100</f>
        <v>0</v>
      </c>
      <c r="I28" s="197"/>
      <c r="J28" s="197"/>
    </row>
    <row r="29" spans="1:10" ht="22.5" customHeight="1">
      <c r="A29" s="14" t="s">
        <v>98</v>
      </c>
      <c r="B29" s="4" t="s">
        <v>165</v>
      </c>
      <c r="C29" s="208">
        <v>4296.5</v>
      </c>
      <c r="D29" s="6">
        <v>22500</v>
      </c>
      <c r="E29" s="19">
        <v>4650</v>
      </c>
      <c r="F29" s="180">
        <v>20000</v>
      </c>
      <c r="G29" s="78">
        <f t="shared" si="0"/>
        <v>88.88888888888889</v>
      </c>
      <c r="H29" s="65">
        <f>F29/rashodi!$F$9*100</f>
        <v>0.0011347778983732098</v>
      </c>
      <c r="I29" s="197"/>
      <c r="J29" s="197"/>
    </row>
    <row r="30" spans="1:10" ht="22.5" customHeight="1">
      <c r="A30" s="14" t="s">
        <v>99</v>
      </c>
      <c r="B30" s="4" t="s">
        <v>100</v>
      </c>
      <c r="C30" s="208">
        <v>55070</v>
      </c>
      <c r="D30" s="6">
        <v>98000</v>
      </c>
      <c r="E30" s="6">
        <v>44400</v>
      </c>
      <c r="F30" s="179">
        <v>90000</v>
      </c>
      <c r="G30" s="72">
        <f t="shared" si="0"/>
        <v>91.83673469387756</v>
      </c>
      <c r="H30" s="65">
        <f>F30/rashodi!$F$9*100</f>
        <v>0.005106500542679445</v>
      </c>
      <c r="I30" s="197"/>
      <c r="J30" s="197"/>
    </row>
    <row r="31" spans="1:10" ht="21.75" customHeight="1" thickBot="1">
      <c r="A31" s="54" t="s">
        <v>303</v>
      </c>
      <c r="B31" s="20" t="s">
        <v>306</v>
      </c>
      <c r="C31" s="209"/>
      <c r="D31" s="44"/>
      <c r="E31" s="44"/>
      <c r="F31" s="227">
        <v>350000</v>
      </c>
      <c r="G31" s="79" t="e">
        <f>F31/D31*100</f>
        <v>#DIV/0!</v>
      </c>
      <c r="H31" s="62">
        <f>F31/rashodi!$F$9*100</f>
        <v>0.019858613221531173</v>
      </c>
      <c r="I31" s="197"/>
      <c r="J31" s="197"/>
    </row>
    <row r="32" spans="1:10" ht="24.75" customHeight="1" thickBot="1" thickTop="1">
      <c r="A32" s="104">
        <v>614</v>
      </c>
      <c r="B32" s="105" t="s">
        <v>150</v>
      </c>
      <c r="C32" s="212">
        <f>SUM(C22:C31)</f>
        <v>1647410406.56</v>
      </c>
      <c r="D32" s="212">
        <f>SUM(D22:D31)</f>
        <v>1707552769</v>
      </c>
      <c r="E32" s="212">
        <f>SUM(E22:E31)</f>
        <v>1132074107.56</v>
      </c>
      <c r="F32" s="251">
        <f>SUM(F22:F31)</f>
        <v>1718885113</v>
      </c>
      <c r="G32" s="106">
        <f t="shared" si="0"/>
        <v>100.66365995861062</v>
      </c>
      <c r="H32" s="64">
        <f>F32/rashodi!$F$9*100</f>
        <v>97.52764180375686</v>
      </c>
      <c r="I32" s="197"/>
      <c r="J32" s="197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spans="1:3" ht="12.75">
      <c r="A42" s="16"/>
      <c r="B42" s="9"/>
      <c r="C42" s="9"/>
    </row>
    <row r="43" spans="1:3" ht="12.75">
      <c r="A43" s="16"/>
      <c r="B43" s="9"/>
      <c r="C43" s="9"/>
    </row>
    <row r="44" spans="1:3" ht="12.75">
      <c r="A44" s="16"/>
      <c r="B44" s="9"/>
      <c r="C44" s="9"/>
    </row>
    <row r="45" spans="1:3" ht="12.75">
      <c r="A45" s="16"/>
      <c r="B45" s="9"/>
      <c r="C45" s="9"/>
    </row>
    <row r="46" spans="1:3" ht="12.75">
      <c r="A46" s="16"/>
      <c r="B46" s="9"/>
      <c r="C46" s="9"/>
    </row>
    <row r="47" spans="1:3" ht="12.75">
      <c r="A47" s="16"/>
      <c r="B47" s="9"/>
      <c r="C47" s="9"/>
    </row>
    <row r="48" spans="1:3" ht="12.75">
      <c r="A48" s="16"/>
      <c r="B48" s="9"/>
      <c r="C48" s="9"/>
    </row>
    <row r="49" spans="1:3" ht="12.75">
      <c r="A49" s="16"/>
      <c r="B49" s="9"/>
      <c r="C49" s="9"/>
    </row>
    <row r="50" spans="1:3" ht="12.75">
      <c r="A50" s="16"/>
      <c r="B50" s="9"/>
      <c r="C50" s="9"/>
    </row>
    <row r="51" spans="1:3" ht="12.75">
      <c r="A51" s="16"/>
      <c r="B51" s="9"/>
      <c r="C51" s="9"/>
    </row>
    <row r="52" spans="1:3" ht="12.75">
      <c r="A52" s="16"/>
      <c r="B52" s="9"/>
      <c r="C52" s="9"/>
    </row>
    <row r="53" spans="1:3" ht="12.75">
      <c r="A53" s="16"/>
      <c r="B53" s="9"/>
      <c r="C53" s="9"/>
    </row>
    <row r="54" spans="1:3" ht="12.75">
      <c r="A54" s="16"/>
      <c r="B54" s="9"/>
      <c r="C54" s="9"/>
    </row>
    <row r="55" spans="1:3" ht="12.75">
      <c r="A55" s="16"/>
      <c r="B55" s="9"/>
      <c r="C55" s="9"/>
    </row>
    <row r="56" spans="1:3" ht="12.75">
      <c r="A56" s="16"/>
      <c r="B56" s="9"/>
      <c r="C56" s="9"/>
    </row>
    <row r="57" spans="1:3" ht="12.75">
      <c r="A57" s="16"/>
      <c r="B57" s="9"/>
      <c r="C57" s="9"/>
    </row>
    <row r="58" spans="1:3" ht="12.75">
      <c r="A58" s="16"/>
      <c r="B58" s="9"/>
      <c r="C58" s="9"/>
    </row>
    <row r="59" spans="1:3" ht="12.75">
      <c r="A59" s="16"/>
      <c r="B59" s="9"/>
      <c r="C59" s="9"/>
    </row>
    <row r="60" spans="1:3" ht="12.75">
      <c r="A60" s="16"/>
      <c r="B60" s="9"/>
      <c r="C60" s="9"/>
    </row>
    <row r="61" spans="1:3" ht="12.75">
      <c r="A61" s="16"/>
      <c r="B61" s="9"/>
      <c r="C61" s="9"/>
    </row>
    <row r="62" spans="1:3" ht="12.75">
      <c r="A62" s="16"/>
      <c r="B62" s="9"/>
      <c r="C62" s="9"/>
    </row>
    <row r="63" spans="1:3" ht="12.75">
      <c r="A63" s="16"/>
      <c r="B63" s="9"/>
      <c r="C63" s="9"/>
    </row>
    <row r="64" spans="1:3" ht="12.75">
      <c r="A64" s="16"/>
      <c r="B64" s="9"/>
      <c r="C64" s="9"/>
    </row>
    <row r="65" spans="1:3" ht="12.75">
      <c r="A65" s="16"/>
      <c r="B65" s="9"/>
      <c r="C65" s="9"/>
    </row>
    <row r="66" spans="1:3" ht="12.75">
      <c r="A66" s="16"/>
      <c r="B66" s="9"/>
      <c r="C66" s="9"/>
    </row>
    <row r="67" spans="1:3" ht="12.75">
      <c r="A67" s="16"/>
      <c r="B67" s="9"/>
      <c r="C67" s="9"/>
    </row>
    <row r="68" spans="1:3" ht="12.75">
      <c r="A68" s="16"/>
      <c r="B68" s="9"/>
      <c r="C68" s="9"/>
    </row>
    <row r="69" spans="1:3" ht="12.75">
      <c r="A69" s="16"/>
      <c r="B69" s="9"/>
      <c r="C69" s="9"/>
    </row>
    <row r="70" spans="1:3" ht="12.75">
      <c r="A70" s="16"/>
      <c r="B70" s="9"/>
      <c r="C70" s="9"/>
    </row>
    <row r="71" spans="1:3" ht="12.75">
      <c r="A71" s="16"/>
      <c r="B71" s="9"/>
      <c r="C71" s="9"/>
    </row>
    <row r="72" spans="1:3" ht="12.75">
      <c r="A72" s="16"/>
      <c r="B72" s="9"/>
      <c r="C72" s="9"/>
    </row>
    <row r="73" spans="1:3" ht="12.75">
      <c r="A73" s="16"/>
      <c r="B73" s="9"/>
      <c r="C73" s="9"/>
    </row>
    <row r="74" spans="1:3" ht="12.75">
      <c r="A74" s="16"/>
      <c r="B74" s="9"/>
      <c r="C74" s="9"/>
    </row>
    <row r="75" spans="1:3" ht="12.75">
      <c r="A75" s="16"/>
      <c r="B75" s="9"/>
      <c r="C75" s="9"/>
    </row>
    <row r="76" spans="1:3" ht="12.75">
      <c r="A76" s="16"/>
      <c r="B76" s="9"/>
      <c r="C76" s="9"/>
    </row>
    <row r="77" spans="1:3" ht="12.75">
      <c r="A77" s="16"/>
      <c r="B77" s="9"/>
      <c r="C77" s="9"/>
    </row>
    <row r="78" spans="1:3" ht="12.75">
      <c r="A78" s="16"/>
      <c r="B78" s="9"/>
      <c r="C78" s="9"/>
    </row>
    <row r="79" spans="1:3" ht="12.75">
      <c r="A79" s="16"/>
      <c r="B79" s="9"/>
      <c r="C79" s="9"/>
    </row>
    <row r="80" spans="1:3" ht="12.75">
      <c r="A80" s="16"/>
      <c r="B80" s="9"/>
      <c r="C80" s="9"/>
    </row>
    <row r="81" spans="1:3" ht="12.75">
      <c r="A81" s="16"/>
      <c r="B81" s="9"/>
      <c r="C81" s="9"/>
    </row>
    <row r="82" spans="1:3" ht="12.75">
      <c r="A82" s="16"/>
      <c r="B82" s="9"/>
      <c r="C82" s="9"/>
    </row>
    <row r="83" spans="1:3" ht="12.75">
      <c r="A83" s="16"/>
      <c r="B83" s="9"/>
      <c r="C83" s="9"/>
    </row>
    <row r="84" spans="1:3" ht="12.75">
      <c r="A84" s="16"/>
      <c r="B84" s="9"/>
      <c r="C84" s="9"/>
    </row>
    <row r="85" spans="1:3" ht="12.75">
      <c r="A85" s="16"/>
      <c r="B85" s="9"/>
      <c r="C85" s="9"/>
    </row>
    <row r="86" spans="1:3" ht="12.75">
      <c r="A86" s="16"/>
      <c r="B86" s="9"/>
      <c r="C86" s="9"/>
    </row>
    <row r="87" spans="1:3" ht="12.75">
      <c r="A87" s="16"/>
      <c r="B87" s="9"/>
      <c r="C87" s="9"/>
    </row>
    <row r="88" spans="1:3" ht="12.75">
      <c r="A88" s="16"/>
      <c r="B88" s="9"/>
      <c r="C88" s="9"/>
    </row>
    <row r="89" spans="1:3" ht="12.75">
      <c r="A89" s="16"/>
      <c r="B89" s="9"/>
      <c r="C89" s="9"/>
    </row>
    <row r="90" spans="1:3" ht="12.75">
      <c r="A90" s="16"/>
      <c r="B90" s="9"/>
      <c r="C90" s="9"/>
    </row>
    <row r="91" spans="1:3" ht="12.75">
      <c r="A91" s="16"/>
      <c r="B91" s="9"/>
      <c r="C91" s="9"/>
    </row>
    <row r="92" spans="1:3" ht="12.75">
      <c r="A92" s="16"/>
      <c r="B92" s="9"/>
      <c r="C92" s="9"/>
    </row>
    <row r="93" spans="1:3" ht="12.75">
      <c r="A93" s="16"/>
      <c r="B93" s="9"/>
      <c r="C93" s="9"/>
    </row>
    <row r="94" spans="1:3" ht="12.75">
      <c r="A94" s="16"/>
      <c r="B94" s="9"/>
      <c r="C94" s="9"/>
    </row>
    <row r="95" spans="1:3" ht="12.75">
      <c r="A95" s="16"/>
      <c r="B95" s="9"/>
      <c r="C95" s="9"/>
    </row>
    <row r="96" spans="1:3" ht="12.75">
      <c r="A96" s="16"/>
      <c r="B96" s="9"/>
      <c r="C96" s="9"/>
    </row>
    <row r="97" spans="1:3" ht="12.75">
      <c r="A97" s="16"/>
      <c r="B97" s="9"/>
      <c r="C97" s="9"/>
    </row>
    <row r="98" spans="1:3" ht="12.75">
      <c r="A98" s="16"/>
      <c r="B98" s="9"/>
      <c r="C98" s="9"/>
    </row>
    <row r="99" spans="1:3" ht="12.75">
      <c r="A99" s="16"/>
      <c r="B99" s="9"/>
      <c r="C99" s="9"/>
    </row>
    <row r="100" spans="1:3" ht="12.75">
      <c r="A100" s="16"/>
      <c r="B100" s="9"/>
      <c r="C100" s="9"/>
    </row>
    <row r="101" spans="1:3" ht="12.75">
      <c r="A101" s="16"/>
      <c r="B101" s="9"/>
      <c r="C101" s="9"/>
    </row>
    <row r="102" spans="1:3" ht="12.75">
      <c r="A102" s="16"/>
      <c r="B102" s="9"/>
      <c r="C102" s="9"/>
    </row>
    <row r="103" spans="1:3" ht="12.75">
      <c r="A103" s="16"/>
      <c r="B103" s="9"/>
      <c r="C103" s="9"/>
    </row>
    <row r="104" spans="1:3" ht="12.75">
      <c r="A104" s="16"/>
      <c r="B104" s="9"/>
      <c r="C104" s="9"/>
    </row>
    <row r="105" spans="1:3" ht="12.75">
      <c r="A105" s="16"/>
      <c r="B105" s="9"/>
      <c r="C105" s="9"/>
    </row>
    <row r="106" spans="1:3" ht="12.75">
      <c r="A106" s="16"/>
      <c r="B106" s="9"/>
      <c r="C106" s="9"/>
    </row>
    <row r="107" spans="1:3" ht="12.75">
      <c r="A107" s="16"/>
      <c r="B107" s="9"/>
      <c r="C107" s="9"/>
    </row>
    <row r="108" spans="1:3" ht="12.75">
      <c r="A108" s="16"/>
      <c r="B108" s="9"/>
      <c r="C108" s="9"/>
    </row>
    <row r="109" spans="1:3" ht="12.75">
      <c r="A109" s="16"/>
      <c r="B109" s="9"/>
      <c r="C109" s="9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</sheetData>
  <sheetProtection/>
  <mergeCells count="8">
    <mergeCell ref="G4:G5"/>
    <mergeCell ref="G6:G11"/>
    <mergeCell ref="G12:G17"/>
    <mergeCell ref="G18:G19"/>
    <mergeCell ref="D6:D11"/>
    <mergeCell ref="D12:D17"/>
    <mergeCell ref="D18:D19"/>
    <mergeCell ref="D4:D5"/>
  </mergeCells>
  <printOptions/>
  <pageMargins left="0.7874015748031497" right="0.7480314960629921" top="0.7874015748031497" bottom="0.6692913385826772" header="0.5118110236220472" footer="0.5118110236220472"/>
  <pageSetup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7"/>
  <sheetViews>
    <sheetView zoomScalePageLayoutView="0" workbookViewId="0" topLeftCell="A19">
      <selection activeCell="J26" sqref="J26"/>
    </sheetView>
  </sheetViews>
  <sheetFormatPr defaultColWidth="9.140625" defaultRowHeight="12.75"/>
  <cols>
    <col min="1" max="1" width="8.8515625" style="1" customWidth="1"/>
    <col min="2" max="2" width="18.7109375" style="1" customWidth="1"/>
    <col min="3" max="3" width="11.421875" style="1" customWidth="1"/>
    <col min="4" max="4" width="9.140625" style="1" bestFit="1" customWidth="1"/>
    <col min="5" max="5" width="10.57421875" style="1" customWidth="1"/>
    <col min="6" max="6" width="10.28125" style="1" customWidth="1"/>
    <col min="7" max="7" width="9.7109375" style="1" customWidth="1"/>
    <col min="8" max="8" width="9.00390625" style="1" customWidth="1"/>
    <col min="9" max="13" width="9.140625" style="1" customWidth="1"/>
    <col min="14" max="14" width="11.7109375" style="1" customWidth="1"/>
    <col min="15" max="16384" width="9.140625" style="1" customWidth="1"/>
  </cols>
  <sheetData>
    <row r="1" ht="13.5" customHeight="1" thickBot="1">
      <c r="H1" s="1">
        <v>5</v>
      </c>
    </row>
    <row r="2" spans="1:8" s="17" customFormat="1" ht="35.25" customHeight="1">
      <c r="A2" s="259" t="s">
        <v>2</v>
      </c>
      <c r="B2" s="260" t="s">
        <v>3</v>
      </c>
      <c r="C2" s="261" t="s">
        <v>301</v>
      </c>
      <c r="D2" s="262" t="s">
        <v>153</v>
      </c>
      <c r="E2" s="262" t="s">
        <v>298</v>
      </c>
      <c r="F2" s="262" t="s">
        <v>177</v>
      </c>
      <c r="G2" s="262" t="s">
        <v>178</v>
      </c>
      <c r="H2" s="263" t="s">
        <v>179</v>
      </c>
    </row>
    <row r="3" spans="1:8" s="17" customFormat="1" ht="12.75" customHeight="1" thickBot="1">
      <c r="A3" s="269">
        <v>1</v>
      </c>
      <c r="B3" s="270">
        <v>2</v>
      </c>
      <c r="C3" s="270">
        <v>3</v>
      </c>
      <c r="D3" s="271">
        <v>4</v>
      </c>
      <c r="E3" s="271">
        <v>5</v>
      </c>
      <c r="F3" s="271">
        <v>6</v>
      </c>
      <c r="G3" s="272" t="s">
        <v>311</v>
      </c>
      <c r="H3" s="273">
        <v>8</v>
      </c>
    </row>
    <row r="4" spans="1:24" ht="24.75" customHeight="1">
      <c r="A4" s="201" t="s">
        <v>65</v>
      </c>
      <c r="B4" s="202" t="s">
        <v>66</v>
      </c>
      <c r="C4" s="217">
        <v>31771.1</v>
      </c>
      <c r="D4" s="130">
        <v>54000</v>
      </c>
      <c r="E4" s="130">
        <v>15335.34</v>
      </c>
      <c r="F4" s="180">
        <v>50000</v>
      </c>
      <c r="G4" s="172">
        <f>F4/D4*100</f>
        <v>92.5925925925926</v>
      </c>
      <c r="H4" s="203">
        <f>F4/rashodi!$F$9*100</f>
        <v>0.0028369447459330246</v>
      </c>
      <c r="I4" s="11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24.75" customHeight="1">
      <c r="A5" s="57" t="s">
        <v>67</v>
      </c>
      <c r="B5" s="56" t="s">
        <v>68</v>
      </c>
      <c r="C5" s="218">
        <v>47383.35</v>
      </c>
      <c r="D5" s="24">
        <v>73600</v>
      </c>
      <c r="E5" s="24">
        <v>20093.65</v>
      </c>
      <c r="F5" s="179">
        <v>65000</v>
      </c>
      <c r="G5" s="75">
        <f>F5/D5*100</f>
        <v>88.31521739130434</v>
      </c>
      <c r="H5" s="67">
        <f>F5/rashodi!$F$9*100</f>
        <v>0.003688028169712932</v>
      </c>
      <c r="I5" s="11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4.75" customHeight="1">
      <c r="A6" s="57" t="s">
        <v>69</v>
      </c>
      <c r="B6" s="56" t="s">
        <v>70</v>
      </c>
      <c r="C6" s="218">
        <v>21997.28</v>
      </c>
      <c r="D6" s="24">
        <v>22000</v>
      </c>
      <c r="E6" s="24">
        <v>11022.93</v>
      </c>
      <c r="F6" s="179">
        <v>20000</v>
      </c>
      <c r="G6" s="75">
        <f aca="true" t="shared" si="0" ref="G6:G22">F6/D6*100</f>
        <v>90.9090909090909</v>
      </c>
      <c r="H6" s="67">
        <f>F6/rashodi!$F$9*100</f>
        <v>0.0011347778983732098</v>
      </c>
      <c r="I6" s="11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4.75" customHeight="1">
      <c r="A7" s="55" t="s">
        <v>71</v>
      </c>
      <c r="B7" s="58" t="s">
        <v>72</v>
      </c>
      <c r="C7" s="219">
        <v>23497.7</v>
      </c>
      <c r="D7" s="24">
        <v>25000</v>
      </c>
      <c r="E7" s="24">
        <v>28212.69</v>
      </c>
      <c r="F7" s="179">
        <v>40000</v>
      </c>
      <c r="G7" s="75">
        <f t="shared" si="0"/>
        <v>160</v>
      </c>
      <c r="H7" s="67">
        <f>F7/rashodi!$F$9*100</f>
        <v>0.0022695557967464196</v>
      </c>
      <c r="I7" s="1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4.75" customHeight="1">
      <c r="A8" s="55" t="s">
        <v>73</v>
      </c>
      <c r="B8" s="58" t="s">
        <v>74</v>
      </c>
      <c r="C8" s="219">
        <v>11008.59</v>
      </c>
      <c r="D8" s="24">
        <v>40000</v>
      </c>
      <c r="E8" s="24">
        <v>6668.42</v>
      </c>
      <c r="F8" s="179">
        <v>30000</v>
      </c>
      <c r="G8" s="75">
        <f t="shared" si="0"/>
        <v>75</v>
      </c>
      <c r="H8" s="67">
        <f>F8/rashodi!$F$9*100</f>
        <v>0.0017021668475598146</v>
      </c>
      <c r="I8" s="1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4.75" customHeight="1">
      <c r="A9" s="55" t="s">
        <v>75</v>
      </c>
      <c r="B9" s="56" t="s">
        <v>218</v>
      </c>
      <c r="C9" s="218">
        <v>83136</v>
      </c>
      <c r="D9" s="24">
        <v>85000</v>
      </c>
      <c r="E9" s="24">
        <v>100818</v>
      </c>
      <c r="F9" s="179">
        <v>105500</v>
      </c>
      <c r="G9" s="75">
        <f t="shared" si="0"/>
        <v>124.11764705882354</v>
      </c>
      <c r="H9" s="67">
        <f>F9/rashodi!$F$9*100</f>
        <v>0.005985953413918682</v>
      </c>
      <c r="I9" s="11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4.75" customHeight="1">
      <c r="A10" s="55" t="s">
        <v>140</v>
      </c>
      <c r="B10" s="56" t="s">
        <v>76</v>
      </c>
      <c r="C10" s="218">
        <v>77221.28</v>
      </c>
      <c r="D10" s="24">
        <v>120000</v>
      </c>
      <c r="E10" s="24">
        <v>81879.97</v>
      </c>
      <c r="F10" s="179">
        <v>140000</v>
      </c>
      <c r="G10" s="75">
        <f t="shared" si="0"/>
        <v>116.66666666666667</v>
      </c>
      <c r="H10" s="67">
        <f>F10/rashodi!$F$9*100</f>
        <v>0.00794344528861247</v>
      </c>
      <c r="I10" s="11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4.75" customHeight="1">
      <c r="A11" s="55" t="s">
        <v>77</v>
      </c>
      <c r="B11" s="58" t="s">
        <v>78</v>
      </c>
      <c r="C11" s="219">
        <v>374017.27</v>
      </c>
      <c r="D11" s="24">
        <v>365000</v>
      </c>
      <c r="E11" s="24">
        <v>166429.77</v>
      </c>
      <c r="F11" s="179">
        <v>300000</v>
      </c>
      <c r="G11" s="75">
        <f t="shared" si="0"/>
        <v>82.1917808219178</v>
      </c>
      <c r="H11" s="67">
        <f>F11/rashodi!$F$9*100</f>
        <v>0.017021668475598148</v>
      </c>
      <c r="I11" s="11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4.75" customHeight="1">
      <c r="A12" s="57" t="s">
        <v>79</v>
      </c>
      <c r="B12" s="56" t="s">
        <v>80</v>
      </c>
      <c r="C12" s="218">
        <v>115574.24</v>
      </c>
      <c r="D12" s="24">
        <v>100000</v>
      </c>
      <c r="E12" s="24">
        <v>0</v>
      </c>
      <c r="F12" s="179">
        <f>E12/7*12</f>
        <v>0</v>
      </c>
      <c r="G12" s="75">
        <f t="shared" si="0"/>
        <v>0</v>
      </c>
      <c r="H12" s="67">
        <f>F12/rashodi!$F$9*100</f>
        <v>0</v>
      </c>
      <c r="I12" s="11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4.75" customHeight="1">
      <c r="A13" s="57" t="s">
        <v>141</v>
      </c>
      <c r="B13" s="58" t="s">
        <v>81</v>
      </c>
      <c r="C13" s="219">
        <v>329178.84</v>
      </c>
      <c r="D13" s="24">
        <v>150000</v>
      </c>
      <c r="E13" s="24">
        <v>67398.78</v>
      </c>
      <c r="F13" s="179">
        <v>120000</v>
      </c>
      <c r="G13" s="75">
        <f>F13/D13*100</f>
        <v>80</v>
      </c>
      <c r="H13" s="67">
        <f>F13/rashodi!$F$9*100</f>
        <v>0.0068086673902392585</v>
      </c>
      <c r="I13" s="11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9" ht="24.75" customHeight="1">
      <c r="A14" s="55" t="s">
        <v>82</v>
      </c>
      <c r="B14" s="56" t="s">
        <v>219</v>
      </c>
      <c r="C14" s="218">
        <v>868.2</v>
      </c>
      <c r="D14" s="24">
        <v>3500</v>
      </c>
      <c r="E14" s="24">
        <v>0</v>
      </c>
      <c r="F14" s="179">
        <f>E14/7*12</f>
        <v>0</v>
      </c>
      <c r="G14" s="75">
        <f t="shared" si="0"/>
        <v>0</v>
      </c>
      <c r="H14" s="67">
        <f>F14/rashodi!$F$9*100</f>
        <v>0</v>
      </c>
      <c r="I14" s="111"/>
    </row>
    <row r="15" spans="1:9" ht="24.75" customHeight="1">
      <c r="A15" s="59" t="s">
        <v>83</v>
      </c>
      <c r="B15" s="58" t="s">
        <v>84</v>
      </c>
      <c r="C15" s="219">
        <v>4212</v>
      </c>
      <c r="D15" s="24">
        <v>8000</v>
      </c>
      <c r="E15" s="24">
        <v>0</v>
      </c>
      <c r="F15" s="179">
        <f>E15/7*12</f>
        <v>0</v>
      </c>
      <c r="G15" s="75">
        <f t="shared" si="0"/>
        <v>0</v>
      </c>
      <c r="H15" s="67">
        <f>F15/rashodi!$F$9*100</f>
        <v>0</v>
      </c>
      <c r="I15" s="111"/>
    </row>
    <row r="16" spans="1:9" ht="24.75" customHeight="1">
      <c r="A16" s="59" t="s">
        <v>85</v>
      </c>
      <c r="B16" s="56" t="s">
        <v>164</v>
      </c>
      <c r="C16" s="218">
        <v>2322.5</v>
      </c>
      <c r="D16" s="24">
        <v>12000</v>
      </c>
      <c r="E16" s="24">
        <v>1023.75</v>
      </c>
      <c r="F16" s="179">
        <v>10000</v>
      </c>
      <c r="G16" s="75">
        <f t="shared" si="0"/>
        <v>83.33333333333334</v>
      </c>
      <c r="H16" s="67">
        <f>F16/rashodi!$F$9*100</f>
        <v>0.0005673889491866049</v>
      </c>
      <c r="I16" s="111"/>
    </row>
    <row r="17" spans="1:9" ht="24.75" customHeight="1">
      <c r="A17" s="3" t="s">
        <v>86</v>
      </c>
      <c r="B17" s="7" t="s">
        <v>87</v>
      </c>
      <c r="C17" s="219">
        <v>60097.83</v>
      </c>
      <c r="D17" s="24">
        <v>60000</v>
      </c>
      <c r="E17" s="24">
        <v>31114.76</v>
      </c>
      <c r="F17" s="179">
        <v>58000</v>
      </c>
      <c r="G17" s="75">
        <f t="shared" si="0"/>
        <v>96.66666666666667</v>
      </c>
      <c r="H17" s="67">
        <f>F17/rashodi!$F$9*100</f>
        <v>0.003290855905282308</v>
      </c>
      <c r="I17" s="111"/>
    </row>
    <row r="18" spans="1:9" ht="24.75" customHeight="1">
      <c r="A18" s="12" t="s">
        <v>221</v>
      </c>
      <c r="B18" s="4" t="s">
        <v>222</v>
      </c>
      <c r="C18" s="218">
        <v>18738.21</v>
      </c>
      <c r="D18" s="298">
        <v>40000</v>
      </c>
      <c r="E18" s="24">
        <v>11889.04</v>
      </c>
      <c r="F18" s="179">
        <v>18000</v>
      </c>
      <c r="G18" s="302">
        <f>(F18+F19)/D18*100</f>
        <v>102.49999999999999</v>
      </c>
      <c r="H18" s="67">
        <f>F18/rashodi!$F$9*100</f>
        <v>0.0010213001085358888</v>
      </c>
      <c r="I18" s="111"/>
    </row>
    <row r="19" spans="1:9" ht="24.75" customHeight="1">
      <c r="A19" s="12" t="s">
        <v>220</v>
      </c>
      <c r="B19" s="4" t="s">
        <v>223</v>
      </c>
      <c r="C19" s="218">
        <v>23644.78</v>
      </c>
      <c r="D19" s="299"/>
      <c r="E19" s="24">
        <v>14943.81</v>
      </c>
      <c r="F19" s="179">
        <v>23000</v>
      </c>
      <c r="G19" s="303"/>
      <c r="H19" s="67">
        <f>F19/rashodi!$F$9*100</f>
        <v>0.0013049945831291913</v>
      </c>
      <c r="I19" s="111"/>
    </row>
    <row r="20" spans="1:9" ht="24.75" customHeight="1">
      <c r="A20" s="12" t="s">
        <v>225</v>
      </c>
      <c r="B20" s="4" t="s">
        <v>226</v>
      </c>
      <c r="C20" s="218">
        <v>11332.07</v>
      </c>
      <c r="D20" s="300">
        <v>30000</v>
      </c>
      <c r="E20" s="24">
        <v>6236.96</v>
      </c>
      <c r="F20" s="179">
        <v>25000</v>
      </c>
      <c r="G20" s="302">
        <f>(F20+F21)/D20*100</f>
        <v>83.33333333333334</v>
      </c>
      <c r="H20" s="67">
        <f>F20/rashodi!$F$9*100</f>
        <v>0.0014184723729665123</v>
      </c>
      <c r="I20" s="111"/>
    </row>
    <row r="21" spans="1:9" ht="24.75" customHeight="1">
      <c r="A21" s="12" t="s">
        <v>224</v>
      </c>
      <c r="B21" s="4" t="s">
        <v>227</v>
      </c>
      <c r="C21" s="218">
        <v>300</v>
      </c>
      <c r="D21" s="301"/>
      <c r="E21" s="24">
        <v>0</v>
      </c>
      <c r="F21" s="179">
        <f>E21/7*12</f>
        <v>0</v>
      </c>
      <c r="G21" s="303"/>
      <c r="H21" s="67">
        <f>F21/rashodi!$F$9*100</f>
        <v>0</v>
      </c>
      <c r="I21" s="111"/>
    </row>
    <row r="22" spans="1:9" ht="24.75" customHeight="1">
      <c r="A22" s="3" t="s">
        <v>88</v>
      </c>
      <c r="B22" s="7" t="s">
        <v>89</v>
      </c>
      <c r="C22" s="219">
        <v>0</v>
      </c>
      <c r="D22" s="24">
        <v>15000</v>
      </c>
      <c r="E22" s="24">
        <v>0</v>
      </c>
      <c r="F22" s="179">
        <f>E22/7*12</f>
        <v>0</v>
      </c>
      <c r="G22" s="75">
        <f t="shared" si="0"/>
        <v>0</v>
      </c>
      <c r="H22" s="67">
        <f>F22/rashodi!$F$9*100</f>
        <v>0</v>
      </c>
      <c r="I22" s="111"/>
    </row>
    <row r="23" spans="1:13" ht="24.75" customHeight="1">
      <c r="A23" s="125" t="s">
        <v>90</v>
      </c>
      <c r="B23" s="126" t="s">
        <v>312</v>
      </c>
      <c r="C23" s="220">
        <v>2110002.05</v>
      </c>
      <c r="D23" s="25">
        <v>2532400</v>
      </c>
      <c r="E23" s="25">
        <v>1352574.4</v>
      </c>
      <c r="F23" s="179">
        <v>2160000</v>
      </c>
      <c r="G23" s="127">
        <f>F23/D23*100</f>
        <v>85.29458221450008</v>
      </c>
      <c r="H23" s="128">
        <f>F23/rashodi!$F$9*100</f>
        <v>0.12255601302430666</v>
      </c>
      <c r="I23" s="111"/>
      <c r="J23" s="11">
        <f>D23-F23</f>
        <v>372400</v>
      </c>
      <c r="M23" s="11"/>
    </row>
    <row r="24" spans="1:10" ht="22.5" customHeight="1">
      <c r="A24" s="3" t="s">
        <v>142</v>
      </c>
      <c r="B24" s="4" t="s">
        <v>113</v>
      </c>
      <c r="C24" s="218">
        <v>471834.09</v>
      </c>
      <c r="D24" s="6">
        <v>645000</v>
      </c>
      <c r="E24" s="6">
        <v>262627.56</v>
      </c>
      <c r="F24" s="179">
        <v>400000</v>
      </c>
      <c r="G24" s="72">
        <f>F24/D24*100</f>
        <v>62.01550387596899</v>
      </c>
      <c r="H24" s="128">
        <f>F24/rashodi!$F$9*100</f>
        <v>0.022695557967464197</v>
      </c>
      <c r="I24" s="111"/>
      <c r="J24" s="1">
        <f>F23*100/D23</f>
        <v>85.29458221450008</v>
      </c>
    </row>
    <row r="25" spans="1:10" ht="33" customHeight="1">
      <c r="A25" s="100" t="s">
        <v>143</v>
      </c>
      <c r="B25" s="92" t="s">
        <v>228</v>
      </c>
      <c r="C25" s="221">
        <v>25859.48</v>
      </c>
      <c r="D25" s="6">
        <v>50000</v>
      </c>
      <c r="E25" s="6">
        <v>15134.92</v>
      </c>
      <c r="F25" s="179">
        <v>35000</v>
      </c>
      <c r="G25" s="72">
        <f>F25/D25*100</f>
        <v>70</v>
      </c>
      <c r="H25" s="128">
        <f>F25/rashodi!$F$9*100</f>
        <v>0.0019858613221531173</v>
      </c>
      <c r="I25" s="111"/>
      <c r="J25" s="1">
        <f>100-J24</f>
        <v>14.705417785499918</v>
      </c>
    </row>
    <row r="26" spans="1:9" ht="34.5" customHeight="1">
      <c r="A26" s="3" t="s">
        <v>152</v>
      </c>
      <c r="B26" s="4" t="s">
        <v>229</v>
      </c>
      <c r="C26" s="218">
        <v>58066.26</v>
      </c>
      <c r="D26" s="6">
        <v>50000</v>
      </c>
      <c r="E26" s="6">
        <v>915.85</v>
      </c>
      <c r="F26" s="179">
        <v>0</v>
      </c>
      <c r="G26" s="72">
        <f>F26/D26*100</f>
        <v>0</v>
      </c>
      <c r="H26" s="67">
        <f>F26/rashodi!$F$9*100</f>
        <v>0</v>
      </c>
      <c r="I26" s="111"/>
    </row>
    <row r="27" spans="1:9" ht="23.25" customHeight="1">
      <c r="A27" s="12" t="s">
        <v>231</v>
      </c>
      <c r="B27" s="4" t="s">
        <v>230</v>
      </c>
      <c r="C27" s="208">
        <v>33743.56</v>
      </c>
      <c r="D27" s="293">
        <v>360000</v>
      </c>
      <c r="E27" s="6">
        <v>207.25</v>
      </c>
      <c r="F27" s="179">
        <v>10000</v>
      </c>
      <c r="G27" s="295">
        <f>(F27+F28+F29)/D27*100</f>
        <v>38.88888888888889</v>
      </c>
      <c r="H27" s="67">
        <f>F27/rashodi!$F$9*100</f>
        <v>0.0005673889491866049</v>
      </c>
      <c r="I27" s="111"/>
    </row>
    <row r="28" spans="1:9" ht="22.5" customHeight="1">
      <c r="A28" s="12" t="s">
        <v>232</v>
      </c>
      <c r="B28" s="4" t="s">
        <v>234</v>
      </c>
      <c r="C28" s="208">
        <v>0</v>
      </c>
      <c r="D28" s="293"/>
      <c r="E28" s="6">
        <v>6445.37</v>
      </c>
      <c r="F28" s="179">
        <v>30000</v>
      </c>
      <c r="G28" s="296"/>
      <c r="H28" s="67">
        <f>F28/rashodi!$F$9*100</f>
        <v>0.0017021668475598146</v>
      </c>
      <c r="I28" s="111"/>
    </row>
    <row r="29" spans="1:9" ht="25.5" customHeight="1" thickBot="1">
      <c r="A29" s="247" t="s">
        <v>233</v>
      </c>
      <c r="B29" s="112" t="s">
        <v>235</v>
      </c>
      <c r="C29" s="216">
        <v>22284</v>
      </c>
      <c r="D29" s="294"/>
      <c r="E29" s="102">
        <v>40554.27</v>
      </c>
      <c r="F29" s="181">
        <v>100000</v>
      </c>
      <c r="G29" s="297"/>
      <c r="H29" s="110">
        <f>F29/rashodi!$F$9*100</f>
        <v>0.005673889491866049</v>
      </c>
      <c r="I29" s="111"/>
    </row>
    <row r="30" ht="18" customHeight="1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</sheetData>
  <sheetProtection/>
  <mergeCells count="6">
    <mergeCell ref="D27:D29"/>
    <mergeCell ref="G27:G29"/>
    <mergeCell ref="D18:D19"/>
    <mergeCell ref="D20:D21"/>
    <mergeCell ref="G18:G19"/>
    <mergeCell ref="G20:G21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28"/>
  <sheetViews>
    <sheetView workbookViewId="0" topLeftCell="A1">
      <selection activeCell="M13" sqref="M13"/>
    </sheetView>
  </sheetViews>
  <sheetFormatPr defaultColWidth="9.140625" defaultRowHeight="12.75"/>
  <cols>
    <col min="1" max="1" width="9.28125" style="1" customWidth="1"/>
    <col min="2" max="2" width="20.00390625" style="1" customWidth="1"/>
    <col min="3" max="3" width="10.140625" style="1" customWidth="1"/>
    <col min="4" max="4" width="9.421875" style="1" customWidth="1"/>
    <col min="5" max="5" width="10.28125" style="1" customWidth="1"/>
    <col min="6" max="6" width="9.28125" style="1" customWidth="1"/>
    <col min="7" max="7" width="9.7109375" style="1" customWidth="1"/>
    <col min="8" max="8" width="8.57421875" style="1" customWidth="1"/>
    <col min="9" max="16384" width="9.140625" style="1" customWidth="1"/>
  </cols>
  <sheetData>
    <row r="1" ht="17.25" customHeight="1" thickBot="1">
      <c r="H1" s="1">
        <v>4</v>
      </c>
    </row>
    <row r="2" spans="1:8" s="17" customFormat="1" ht="36.75" customHeight="1">
      <c r="A2" s="259" t="s">
        <v>2</v>
      </c>
      <c r="B2" s="260" t="s">
        <v>3</v>
      </c>
      <c r="C2" s="261" t="s">
        <v>301</v>
      </c>
      <c r="D2" s="262" t="s">
        <v>153</v>
      </c>
      <c r="E2" s="262" t="s">
        <v>298</v>
      </c>
      <c r="F2" s="262" t="s">
        <v>177</v>
      </c>
      <c r="G2" s="262" t="s">
        <v>178</v>
      </c>
      <c r="H2" s="263" t="s">
        <v>179</v>
      </c>
    </row>
    <row r="3" spans="1:8" s="17" customFormat="1" ht="12.75" customHeight="1" thickBot="1">
      <c r="A3" s="269">
        <v>1</v>
      </c>
      <c r="B3" s="270">
        <v>2</v>
      </c>
      <c r="C3" s="270">
        <v>3</v>
      </c>
      <c r="D3" s="271">
        <v>4</v>
      </c>
      <c r="E3" s="271">
        <v>5</v>
      </c>
      <c r="F3" s="271">
        <v>6</v>
      </c>
      <c r="G3" s="272" t="s">
        <v>311</v>
      </c>
      <c r="H3" s="273">
        <v>8</v>
      </c>
    </row>
    <row r="4" spans="1:65" ht="24.75" customHeight="1">
      <c r="A4" s="95" t="s">
        <v>125</v>
      </c>
      <c r="B4" s="21" t="s">
        <v>109</v>
      </c>
      <c r="C4" s="213">
        <v>51145.17</v>
      </c>
      <c r="D4" s="19">
        <v>60000</v>
      </c>
      <c r="E4" s="19">
        <v>33894.85</v>
      </c>
      <c r="F4" s="180">
        <v>55000</v>
      </c>
      <c r="G4" s="78">
        <f>F4/D4*100</f>
        <v>91.66666666666666</v>
      </c>
      <c r="H4" s="68">
        <f>E4/rashodi!$F$9*100</f>
        <v>0.0019231563324337594</v>
      </c>
      <c r="I4" s="11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4.75" customHeight="1">
      <c r="A5" s="3" t="s">
        <v>126</v>
      </c>
      <c r="B5" s="4" t="s">
        <v>43</v>
      </c>
      <c r="C5" s="208">
        <v>5919.56</v>
      </c>
      <c r="D5" s="6">
        <v>16000</v>
      </c>
      <c r="E5" s="19">
        <v>10262.73</v>
      </c>
      <c r="F5" s="179">
        <v>35000</v>
      </c>
      <c r="G5" s="78">
        <f>F5/D5*100</f>
        <v>218.75</v>
      </c>
      <c r="H5" s="68">
        <f>E5/rashodi!$F$9*100</f>
        <v>0.0005822959590485845</v>
      </c>
      <c r="I5" s="11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 ht="24.75" customHeight="1">
      <c r="A6" s="12" t="s">
        <v>127</v>
      </c>
      <c r="B6" s="4" t="s">
        <v>44</v>
      </c>
      <c r="C6" s="208">
        <v>11319.53</v>
      </c>
      <c r="D6" s="6">
        <v>12000</v>
      </c>
      <c r="E6" s="19">
        <v>21257.02</v>
      </c>
      <c r="F6" s="179">
        <v>32000</v>
      </c>
      <c r="G6" s="78">
        <f>F6/D6*100</f>
        <v>266.66666666666663</v>
      </c>
      <c r="H6" s="68">
        <f>E6/rashodi!$F$9*100</f>
        <v>0.0012060998240638644</v>
      </c>
      <c r="I6" s="11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24.75" customHeight="1">
      <c r="A7" s="12" t="s">
        <v>197</v>
      </c>
      <c r="B7" s="4" t="s">
        <v>198</v>
      </c>
      <c r="C7" s="208">
        <v>8795.38</v>
      </c>
      <c r="D7" s="290">
        <v>21000</v>
      </c>
      <c r="E7" s="19">
        <v>14979.26</v>
      </c>
      <c r="F7" s="179">
        <v>16000</v>
      </c>
      <c r="G7" s="287">
        <f>(F7+F8)/D7*100</f>
        <v>119.04761904761905</v>
      </c>
      <c r="H7" s="68">
        <f>E7/rashodi!$F$9*100</f>
        <v>0.0008499066590992944</v>
      </c>
      <c r="I7" s="1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 ht="24.75" customHeight="1">
      <c r="A8" s="12" t="s">
        <v>196</v>
      </c>
      <c r="B8" s="4" t="s">
        <v>199</v>
      </c>
      <c r="C8" s="208">
        <v>8410.57</v>
      </c>
      <c r="D8" s="292"/>
      <c r="E8" s="19">
        <v>7787.31</v>
      </c>
      <c r="F8" s="179">
        <v>9000</v>
      </c>
      <c r="G8" s="288"/>
      <c r="H8" s="68">
        <f>E8/rashodi!$F$9*100</f>
        <v>0.0004418433637890341</v>
      </c>
      <c r="I8" s="1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ht="24.75" customHeight="1">
      <c r="A9" s="12" t="s">
        <v>201</v>
      </c>
      <c r="B9" s="4" t="s">
        <v>200</v>
      </c>
      <c r="C9" s="208">
        <v>112046.78</v>
      </c>
      <c r="D9" s="290">
        <v>500000</v>
      </c>
      <c r="E9" s="19">
        <v>94948.4</v>
      </c>
      <c r="F9" s="179">
        <v>300000</v>
      </c>
      <c r="G9" s="287">
        <f>(F9+F10)/D9*100</f>
        <v>90</v>
      </c>
      <c r="H9" s="68">
        <f>E9/rashodi!$F$9*100</f>
        <v>0.005387267290294944</v>
      </c>
      <c r="I9" s="11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ht="24.75" customHeight="1">
      <c r="A10" s="12" t="s">
        <v>202</v>
      </c>
      <c r="B10" s="4" t="s">
        <v>203</v>
      </c>
      <c r="C10" s="208">
        <v>90144.08</v>
      </c>
      <c r="D10" s="292"/>
      <c r="E10" s="19">
        <v>64872.28</v>
      </c>
      <c r="F10" s="179">
        <v>150000</v>
      </c>
      <c r="G10" s="288"/>
      <c r="H10" s="68">
        <f>E10/rashodi!$F$9*100</f>
        <v>0.0036807814780539204</v>
      </c>
      <c r="I10" s="11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ht="24.75" customHeight="1">
      <c r="A11" s="3" t="s">
        <v>45</v>
      </c>
      <c r="B11" s="7" t="s">
        <v>46</v>
      </c>
      <c r="C11" s="207">
        <v>178</v>
      </c>
      <c r="D11" s="6">
        <v>60000</v>
      </c>
      <c r="E11" s="19">
        <v>1053</v>
      </c>
      <c r="F11" s="179">
        <v>50000</v>
      </c>
      <c r="G11" s="78">
        <f>F11/D11*100</f>
        <v>83.33333333333334</v>
      </c>
      <c r="H11" s="68">
        <f>E11/rashodi!$F$9*100</f>
        <v>5.9746056349349496E-05</v>
      </c>
      <c r="I11" s="11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 ht="24.75" customHeight="1">
      <c r="A12" s="12" t="s">
        <v>211</v>
      </c>
      <c r="B12" s="4" t="s">
        <v>212</v>
      </c>
      <c r="C12" s="208">
        <v>227.6</v>
      </c>
      <c r="D12" s="290">
        <v>150000</v>
      </c>
      <c r="E12" s="19">
        <v>0</v>
      </c>
      <c r="F12" s="179">
        <f>E12/7*12</f>
        <v>0</v>
      </c>
      <c r="G12" s="287">
        <f>(F12+F13+F14+F15+F16)/D12*100</f>
        <v>98</v>
      </c>
      <c r="H12" s="68">
        <f>E12/rashodi!$F$9*100</f>
        <v>0</v>
      </c>
      <c r="I12" s="11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 ht="24.75" customHeight="1">
      <c r="A13" s="12" t="s">
        <v>204</v>
      </c>
      <c r="B13" s="4" t="s">
        <v>208</v>
      </c>
      <c r="C13" s="208">
        <v>13391.47</v>
      </c>
      <c r="D13" s="291"/>
      <c r="E13" s="19">
        <v>9499.76</v>
      </c>
      <c r="F13" s="179">
        <v>15000</v>
      </c>
      <c r="G13" s="289"/>
      <c r="H13" s="68">
        <f>E13/rashodi!$F$9*100</f>
        <v>0.0005390058843924942</v>
      </c>
      <c r="I13" s="11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24.75" customHeight="1">
      <c r="A14" s="12" t="s">
        <v>205</v>
      </c>
      <c r="B14" s="4" t="s">
        <v>209</v>
      </c>
      <c r="C14" s="208">
        <v>20784.33</v>
      </c>
      <c r="D14" s="291"/>
      <c r="E14" s="19">
        <v>0</v>
      </c>
      <c r="F14" s="179">
        <f>E14/7*12</f>
        <v>0</v>
      </c>
      <c r="G14" s="289"/>
      <c r="H14" s="68">
        <f>E14/rashodi!$F$9*100</f>
        <v>0</v>
      </c>
      <c r="I14" s="11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24.75" customHeight="1">
      <c r="A15" s="12" t="s">
        <v>206</v>
      </c>
      <c r="B15" s="4" t="s">
        <v>213</v>
      </c>
      <c r="C15" s="208">
        <v>16602.3</v>
      </c>
      <c r="D15" s="291"/>
      <c r="E15" s="19">
        <v>9877.8</v>
      </c>
      <c r="F15" s="179">
        <v>17000</v>
      </c>
      <c r="G15" s="289"/>
      <c r="H15" s="68">
        <f>E15/rashodi!$F$9*100</f>
        <v>0.0005604554562275445</v>
      </c>
      <c r="I15" s="1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4.75" customHeight="1">
      <c r="A16" s="12" t="s">
        <v>207</v>
      </c>
      <c r="B16" s="4" t="s">
        <v>210</v>
      </c>
      <c r="C16" s="208">
        <v>82034.03</v>
      </c>
      <c r="D16" s="292"/>
      <c r="E16" s="19">
        <v>72328.77</v>
      </c>
      <c r="F16" s="179">
        <v>115000</v>
      </c>
      <c r="G16" s="288"/>
      <c r="H16" s="68">
        <f>E16/rashodi!$F$9*100</f>
        <v>0.004103854480625964</v>
      </c>
      <c r="I16" s="1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24.75" customHeight="1">
      <c r="A17" s="3" t="s">
        <v>47</v>
      </c>
      <c r="B17" s="4" t="s">
        <v>48</v>
      </c>
      <c r="C17" s="208">
        <v>138.7</v>
      </c>
      <c r="D17" s="6">
        <v>1000</v>
      </c>
      <c r="E17" s="19">
        <v>782.23</v>
      </c>
      <c r="F17" s="179">
        <v>1000</v>
      </c>
      <c r="G17" s="78">
        <f>F17/D17*100</f>
        <v>100</v>
      </c>
      <c r="H17" s="68">
        <f>E17/rashodi!$F$9*100</f>
        <v>4.43828657722238E-05</v>
      </c>
      <c r="I17" s="11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9" ht="24.75" customHeight="1">
      <c r="A18" s="12" t="s">
        <v>49</v>
      </c>
      <c r="B18" s="7" t="s">
        <v>50</v>
      </c>
      <c r="C18" s="207">
        <v>42354.99</v>
      </c>
      <c r="D18" s="6">
        <v>55000</v>
      </c>
      <c r="E18" s="19">
        <v>29310.46</v>
      </c>
      <c r="F18" s="179">
        <v>55000</v>
      </c>
      <c r="G18" s="78">
        <f>F18/D18*100</f>
        <v>100</v>
      </c>
      <c r="H18" s="68">
        <f>E18/rashodi!$F$9*100</f>
        <v>0.0016630431099576015</v>
      </c>
      <c r="I18" s="111"/>
    </row>
    <row r="19" spans="1:9" ht="24.75" customHeight="1">
      <c r="A19" s="12" t="s">
        <v>215</v>
      </c>
      <c r="B19" s="7" t="s">
        <v>216</v>
      </c>
      <c r="C19" s="207">
        <v>76609.69</v>
      </c>
      <c r="D19" s="290">
        <v>100000</v>
      </c>
      <c r="E19" s="19">
        <v>61690.64</v>
      </c>
      <c r="F19" s="179">
        <v>5000</v>
      </c>
      <c r="G19" s="287">
        <f>(F19+F20)/D19*100</f>
        <v>100</v>
      </c>
      <c r="H19" s="68">
        <f>E19/rashodi!$F$9*100</f>
        <v>0.0035002587404249137</v>
      </c>
      <c r="I19" s="111"/>
    </row>
    <row r="20" spans="1:9" ht="24.75" customHeight="1">
      <c r="A20" s="12" t="s">
        <v>214</v>
      </c>
      <c r="B20" s="7" t="s">
        <v>217</v>
      </c>
      <c r="C20" s="207">
        <v>2034.98</v>
      </c>
      <c r="D20" s="292"/>
      <c r="E20" s="19">
        <v>817.27</v>
      </c>
      <c r="F20" s="179">
        <v>95000</v>
      </c>
      <c r="G20" s="288"/>
      <c r="H20" s="68">
        <f>E20/rashodi!$F$9*100</f>
        <v>4.637099665017366E-05</v>
      </c>
      <c r="I20" s="111"/>
    </row>
    <row r="21" spans="1:9" ht="24.75" customHeight="1">
      <c r="A21" s="3" t="s">
        <v>51</v>
      </c>
      <c r="B21" s="7" t="s">
        <v>52</v>
      </c>
      <c r="C21" s="207">
        <v>0</v>
      </c>
      <c r="D21" s="6">
        <v>4000</v>
      </c>
      <c r="E21" s="19">
        <v>0</v>
      </c>
      <c r="F21" s="179">
        <v>2000</v>
      </c>
      <c r="G21" s="78">
        <f aca="true" t="shared" si="0" ref="G21:G28">F21/D21*100</f>
        <v>50</v>
      </c>
      <c r="H21" s="68">
        <f>E21/rashodi!$F$9*100</f>
        <v>0</v>
      </c>
      <c r="I21" s="111"/>
    </row>
    <row r="22" spans="1:9" ht="24.75" customHeight="1">
      <c r="A22" s="14" t="s">
        <v>53</v>
      </c>
      <c r="B22" s="7" t="s">
        <v>54</v>
      </c>
      <c r="C22" s="207">
        <v>3127.05</v>
      </c>
      <c r="D22" s="6">
        <v>20000</v>
      </c>
      <c r="E22" s="19">
        <v>6452.35</v>
      </c>
      <c r="F22" s="179">
        <v>15000</v>
      </c>
      <c r="G22" s="78">
        <f t="shared" si="0"/>
        <v>75</v>
      </c>
      <c r="H22" s="68">
        <f>E22/rashodi!$F$9*100</f>
        <v>0.000366099208628419</v>
      </c>
      <c r="I22" s="111"/>
    </row>
    <row r="23" spans="1:9" ht="24.75" customHeight="1">
      <c r="A23" s="14" t="s">
        <v>55</v>
      </c>
      <c r="B23" s="4" t="s">
        <v>305</v>
      </c>
      <c r="C23" s="208">
        <v>0</v>
      </c>
      <c r="D23" s="6">
        <v>2000</v>
      </c>
      <c r="E23" s="19">
        <v>477.6</v>
      </c>
      <c r="F23" s="179">
        <v>2000</v>
      </c>
      <c r="G23" s="78">
        <f t="shared" si="0"/>
        <v>100</v>
      </c>
      <c r="H23" s="68">
        <f>E23/rashodi!$F$9*100</f>
        <v>2.709849621315225E-05</v>
      </c>
      <c r="I23" s="111"/>
    </row>
    <row r="24" spans="1:9" ht="24.75" customHeight="1">
      <c r="A24" s="14" t="s">
        <v>56</v>
      </c>
      <c r="B24" s="7" t="s">
        <v>57</v>
      </c>
      <c r="C24" s="207">
        <v>10291.79</v>
      </c>
      <c r="D24" s="6">
        <v>19000</v>
      </c>
      <c r="E24" s="19">
        <v>4559.85</v>
      </c>
      <c r="F24" s="179">
        <v>19000</v>
      </c>
      <c r="G24" s="78">
        <f t="shared" si="0"/>
        <v>100</v>
      </c>
      <c r="H24" s="68">
        <f>E24/rashodi!$F$9*100</f>
        <v>0.00025872084999485406</v>
      </c>
      <c r="I24" s="111"/>
    </row>
    <row r="25" spans="1:9" ht="24.75" customHeight="1">
      <c r="A25" s="55" t="s">
        <v>58</v>
      </c>
      <c r="B25" s="56" t="s">
        <v>145</v>
      </c>
      <c r="C25" s="208">
        <v>62867.48</v>
      </c>
      <c r="D25" s="6">
        <v>75000</v>
      </c>
      <c r="E25" s="19">
        <v>43968.12</v>
      </c>
      <c r="F25" s="179">
        <v>74000</v>
      </c>
      <c r="G25" s="78">
        <f t="shared" si="0"/>
        <v>98.66666666666667</v>
      </c>
      <c r="H25" s="68">
        <f>E25/rashodi!$F$9*100</f>
        <v>0.0024947025404510547</v>
      </c>
      <c r="I25" s="111"/>
    </row>
    <row r="26" spans="1:12" ht="24.75" customHeight="1">
      <c r="A26" s="55" t="s">
        <v>59</v>
      </c>
      <c r="B26" s="56" t="s">
        <v>60</v>
      </c>
      <c r="C26" s="208">
        <v>12025.17</v>
      </c>
      <c r="D26" s="6">
        <v>15200</v>
      </c>
      <c r="E26" s="19">
        <v>5177.94</v>
      </c>
      <c r="F26" s="179">
        <v>15000</v>
      </c>
      <c r="G26" s="78">
        <f t="shared" si="0"/>
        <v>98.68421052631578</v>
      </c>
      <c r="H26" s="68">
        <f>E26/rashodi!$F$9*100</f>
        <v>0.00029379059355512887</v>
      </c>
      <c r="I26" s="111"/>
      <c r="L26" s="11"/>
    </row>
    <row r="27" spans="1:9" ht="24.75" customHeight="1">
      <c r="A27" s="55" t="s">
        <v>61</v>
      </c>
      <c r="B27" s="56" t="s">
        <v>62</v>
      </c>
      <c r="C27" s="208">
        <v>54699.16</v>
      </c>
      <c r="D27" s="6">
        <v>65000</v>
      </c>
      <c r="E27" s="19">
        <v>25585.04</v>
      </c>
      <c r="F27" s="179">
        <v>60000</v>
      </c>
      <c r="G27" s="78">
        <f t="shared" si="0"/>
        <v>92.3076923076923</v>
      </c>
      <c r="H27" s="68">
        <f>E27/rashodi!$F$9*100</f>
        <v>0.0014516668960497254</v>
      </c>
      <c r="I27" s="111"/>
    </row>
    <row r="28" spans="1:9" ht="24.75" customHeight="1" thickBot="1">
      <c r="A28" s="76" t="s">
        <v>63</v>
      </c>
      <c r="B28" s="60" t="s">
        <v>64</v>
      </c>
      <c r="C28" s="216">
        <v>54627.85</v>
      </c>
      <c r="D28" s="102">
        <v>55000</v>
      </c>
      <c r="E28" s="113">
        <v>26812.26</v>
      </c>
      <c r="F28" s="181">
        <v>55000</v>
      </c>
      <c r="G28" s="136">
        <f t="shared" si="0"/>
        <v>100</v>
      </c>
      <c r="H28" s="109">
        <f>E28/rashodi!$F$9*100</f>
        <v>0.0015212980026718039</v>
      </c>
      <c r="I28" s="111"/>
    </row>
  </sheetData>
  <sheetProtection/>
  <mergeCells count="8">
    <mergeCell ref="G7:G8"/>
    <mergeCell ref="G9:G10"/>
    <mergeCell ref="G12:G16"/>
    <mergeCell ref="G19:G20"/>
    <mergeCell ref="D7:D8"/>
    <mergeCell ref="D9:D10"/>
    <mergeCell ref="D19:D20"/>
    <mergeCell ref="D12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6.8515625" style="1" customWidth="1"/>
    <col min="2" max="2" width="17.57421875" style="1" customWidth="1"/>
    <col min="3" max="3" width="11.7109375" style="1" customWidth="1"/>
    <col min="4" max="4" width="9.8515625" style="1" customWidth="1"/>
    <col min="5" max="5" width="10.7109375" style="1" customWidth="1"/>
    <col min="6" max="6" width="11.28125" style="1" customWidth="1"/>
    <col min="7" max="7" width="9.57421875" style="1" customWidth="1"/>
    <col min="8" max="8" width="9.28125" style="1" customWidth="1"/>
    <col min="9" max="9" width="12.421875" style="1" customWidth="1"/>
    <col min="10" max="10" width="10.00390625" style="1" customWidth="1"/>
    <col min="11" max="11" width="8.140625" style="1" customWidth="1"/>
    <col min="12" max="12" width="7.421875" style="1" customWidth="1"/>
    <col min="13" max="16384" width="9.140625" style="1" customWidth="1"/>
  </cols>
  <sheetData>
    <row r="1" spans="1:8" ht="20.25" customHeight="1" thickBot="1">
      <c r="A1" s="304" t="s">
        <v>8</v>
      </c>
      <c r="B1" s="304"/>
      <c r="C1" s="198"/>
      <c r="H1" s="1">
        <v>2</v>
      </c>
    </row>
    <row r="2" spans="1:10" s="17" customFormat="1" ht="37.5" customHeight="1">
      <c r="A2" s="259" t="s">
        <v>2</v>
      </c>
      <c r="B2" s="260" t="s">
        <v>3</v>
      </c>
      <c r="C2" s="261" t="s">
        <v>301</v>
      </c>
      <c r="D2" s="262" t="s">
        <v>153</v>
      </c>
      <c r="E2" s="262" t="s">
        <v>315</v>
      </c>
      <c r="F2" s="262" t="s">
        <v>177</v>
      </c>
      <c r="G2" s="262" t="s">
        <v>178</v>
      </c>
      <c r="H2" s="263" t="s">
        <v>179</v>
      </c>
      <c r="I2" s="192"/>
      <c r="J2" s="192"/>
    </row>
    <row r="3" spans="1:10" s="17" customFormat="1" ht="12.75" customHeight="1" thickBot="1">
      <c r="A3" s="269">
        <v>1</v>
      </c>
      <c r="B3" s="270">
        <v>2</v>
      </c>
      <c r="C3" s="270">
        <v>3</v>
      </c>
      <c r="D3" s="271">
        <v>4</v>
      </c>
      <c r="E3" s="271">
        <v>5</v>
      </c>
      <c r="F3" s="271">
        <v>6</v>
      </c>
      <c r="G3" s="272" t="s">
        <v>311</v>
      </c>
      <c r="H3" s="273">
        <v>8</v>
      </c>
      <c r="I3" s="32"/>
      <c r="J3" s="32"/>
    </row>
    <row r="4" spans="1:10" ht="24.75" customHeight="1">
      <c r="A4" s="274" t="s">
        <v>146</v>
      </c>
      <c r="B4" s="171" t="s">
        <v>9</v>
      </c>
      <c r="C4" s="204">
        <v>14981657.55</v>
      </c>
      <c r="D4" s="253">
        <v>13580000</v>
      </c>
      <c r="E4" s="253">
        <v>9068974.64</v>
      </c>
      <c r="F4" s="275">
        <v>13350000</v>
      </c>
      <c r="G4" s="254">
        <f>F4/D4*100</f>
        <v>98.30633284241532</v>
      </c>
      <c r="H4" s="276">
        <f>F4/rashodi!$F$9*100</f>
        <v>0.7574642471641175</v>
      </c>
      <c r="I4" s="191"/>
      <c r="J4" s="191"/>
    </row>
    <row r="5" spans="1:58" ht="24.75" customHeight="1">
      <c r="A5" s="93">
        <v>61113</v>
      </c>
      <c r="B5" s="7" t="s">
        <v>10</v>
      </c>
      <c r="C5" s="205">
        <v>6749105.69</v>
      </c>
      <c r="D5" s="101">
        <v>6101200</v>
      </c>
      <c r="E5" s="101">
        <v>4085469.21</v>
      </c>
      <c r="F5" s="232">
        <v>6015000</v>
      </c>
      <c r="G5" s="73">
        <f aca="true" t="shared" si="0" ref="G5:G19">F5/D5*100</f>
        <v>98.58716318101357</v>
      </c>
      <c r="H5" s="61">
        <f>F5/rashodi!$F$9*100</f>
        <v>0.34128445293574283</v>
      </c>
      <c r="I5" s="191"/>
      <c r="J5" s="70"/>
      <c r="K5" s="70"/>
      <c r="L5" s="70"/>
      <c r="M5" s="70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</row>
    <row r="6" spans="1:58" ht="24.75" customHeight="1">
      <c r="A6" s="93" t="s">
        <v>11</v>
      </c>
      <c r="B6" s="4" t="s">
        <v>12</v>
      </c>
      <c r="C6" s="206">
        <v>227488.27</v>
      </c>
      <c r="D6" s="101">
        <v>225000</v>
      </c>
      <c r="E6" s="101">
        <v>142797.49</v>
      </c>
      <c r="F6" s="232">
        <v>215000</v>
      </c>
      <c r="G6" s="73">
        <f t="shared" si="0"/>
        <v>95.55555555555556</v>
      </c>
      <c r="H6" s="61">
        <f>F6/rashodi!$F$9*100</f>
        <v>0.012198862407512006</v>
      </c>
      <c r="I6" s="191"/>
      <c r="J6" s="191"/>
      <c r="K6" s="22"/>
      <c r="L6" s="22"/>
      <c r="M6" s="22"/>
      <c r="N6" s="7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</row>
    <row r="7" spans="1:58" ht="24.75" customHeight="1">
      <c r="A7" s="93" t="s">
        <v>13</v>
      </c>
      <c r="B7" s="4" t="s">
        <v>14</v>
      </c>
      <c r="C7" s="206">
        <v>0</v>
      </c>
      <c r="D7" s="101">
        <v>5000</v>
      </c>
      <c r="E7" s="101">
        <v>0</v>
      </c>
      <c r="F7" s="232">
        <f aca="true" t="shared" si="1" ref="F7:F15">E7/7*12</f>
        <v>0</v>
      </c>
      <c r="G7" s="73">
        <f t="shared" si="0"/>
        <v>0</v>
      </c>
      <c r="H7" s="61">
        <f>F7/rashodi!$F$9*100</f>
        <v>0</v>
      </c>
      <c r="I7" s="191"/>
      <c r="J7" s="19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8" spans="1:58" ht="24.75" customHeight="1">
      <c r="A8" s="93" t="s">
        <v>15</v>
      </c>
      <c r="B8" s="7" t="s">
        <v>16</v>
      </c>
      <c r="C8" s="207">
        <v>0</v>
      </c>
      <c r="D8" s="101">
        <v>6000</v>
      </c>
      <c r="E8" s="101">
        <v>0</v>
      </c>
      <c r="F8" s="232">
        <f t="shared" si="1"/>
        <v>0</v>
      </c>
      <c r="G8" s="73">
        <f t="shared" si="0"/>
        <v>0</v>
      </c>
      <c r="H8" s="61">
        <f>F8/rashodi!$F$9*100</f>
        <v>0</v>
      </c>
      <c r="I8" s="191"/>
      <c r="J8" s="19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ht="24.75" customHeight="1">
      <c r="A9" s="94" t="s">
        <v>137</v>
      </c>
      <c r="B9" s="29" t="s">
        <v>128</v>
      </c>
      <c r="C9" s="207"/>
      <c r="D9" s="101">
        <v>5000</v>
      </c>
      <c r="E9" s="101">
        <v>0</v>
      </c>
      <c r="F9" s="232">
        <f t="shared" si="1"/>
        <v>0</v>
      </c>
      <c r="G9" s="73">
        <f t="shared" si="0"/>
        <v>0</v>
      </c>
      <c r="H9" s="61">
        <f>F9/rashodi!$F$9*100</f>
        <v>0</v>
      </c>
      <c r="I9" s="191"/>
      <c r="J9" s="19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60" ht="24.75" customHeight="1">
      <c r="A10" s="94" t="s">
        <v>17</v>
      </c>
      <c r="B10" s="29" t="s">
        <v>18</v>
      </c>
      <c r="C10" s="207">
        <v>2590748.1</v>
      </c>
      <c r="D10" s="101">
        <v>2550000</v>
      </c>
      <c r="E10" s="101">
        <v>1535708</v>
      </c>
      <c r="F10" s="232">
        <v>2500000</v>
      </c>
      <c r="G10" s="73">
        <f t="shared" si="0"/>
        <v>98.0392156862745</v>
      </c>
      <c r="H10" s="61">
        <f>F10/rashodi!$F$9*100</f>
        <v>0.14184723729665122</v>
      </c>
      <c r="I10" s="191"/>
      <c r="J10" s="19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58" ht="24.75" customHeight="1">
      <c r="A11" s="93" t="s">
        <v>19</v>
      </c>
      <c r="B11" s="4" t="s">
        <v>108</v>
      </c>
      <c r="C11" s="206">
        <v>766634.64</v>
      </c>
      <c r="D11" s="101">
        <v>898000</v>
      </c>
      <c r="E11" s="101">
        <v>557887.14</v>
      </c>
      <c r="F11" s="232">
        <v>800000</v>
      </c>
      <c r="G11" s="73">
        <f t="shared" si="0"/>
        <v>89.086859688196</v>
      </c>
      <c r="H11" s="61">
        <f>F11/rashodi!$F$9*100</f>
        <v>0.045391115934928394</v>
      </c>
      <c r="I11" s="191"/>
      <c r="J11" s="19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ht="24.75" customHeight="1">
      <c r="A12" s="93" t="s">
        <v>20</v>
      </c>
      <c r="B12" s="7" t="s">
        <v>21</v>
      </c>
      <c r="C12" s="205">
        <v>434500</v>
      </c>
      <c r="D12" s="101">
        <v>400000</v>
      </c>
      <c r="E12" s="101">
        <v>318400</v>
      </c>
      <c r="F12" s="232">
        <v>400000</v>
      </c>
      <c r="G12" s="73">
        <f t="shared" si="0"/>
        <v>100</v>
      </c>
      <c r="H12" s="61">
        <f>F12/rashodi!$F$9*100</f>
        <v>0.022695557967464197</v>
      </c>
      <c r="I12" s="191"/>
      <c r="J12" s="19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ht="24.75" customHeight="1">
      <c r="A13" s="93" t="s">
        <v>22</v>
      </c>
      <c r="B13" s="4" t="s">
        <v>23</v>
      </c>
      <c r="C13" s="206">
        <v>79482.21</v>
      </c>
      <c r="D13" s="101">
        <f>260000+215000</f>
        <v>475000</v>
      </c>
      <c r="E13" s="101">
        <v>394199.3</v>
      </c>
      <c r="F13" s="232">
        <v>110000</v>
      </c>
      <c r="G13" s="73">
        <f t="shared" si="0"/>
        <v>23.157894736842106</v>
      </c>
      <c r="H13" s="61">
        <f>F13/rashodi!$F$9*100</f>
        <v>0.006241278441052654</v>
      </c>
      <c r="I13" s="191"/>
      <c r="J13" s="19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24.75" customHeight="1">
      <c r="A14" s="93" t="s">
        <v>24</v>
      </c>
      <c r="B14" s="4" t="s">
        <v>25</v>
      </c>
      <c r="C14" s="206">
        <v>75806.04</v>
      </c>
      <c r="D14" s="101">
        <v>100000</v>
      </c>
      <c r="E14" s="101">
        <v>54303.36</v>
      </c>
      <c r="F14" s="232">
        <v>90000</v>
      </c>
      <c r="G14" s="73">
        <f t="shared" si="0"/>
        <v>90</v>
      </c>
      <c r="H14" s="61">
        <f>F14/rashodi!$F$9*100</f>
        <v>0.005106500542679445</v>
      </c>
      <c r="I14" s="191"/>
      <c r="J14" s="19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10" ht="35.25" customHeight="1">
      <c r="A15" s="93" t="s">
        <v>26</v>
      </c>
      <c r="B15" s="4" t="s">
        <v>151</v>
      </c>
      <c r="C15" s="208">
        <v>18364.06</v>
      </c>
      <c r="D15" s="6">
        <v>22720</v>
      </c>
      <c r="E15" s="101">
        <v>0</v>
      </c>
      <c r="F15" s="232">
        <f t="shared" si="1"/>
        <v>0</v>
      </c>
      <c r="G15" s="73">
        <f t="shared" si="0"/>
        <v>0</v>
      </c>
      <c r="H15" s="61">
        <f>F15/rashodi!$F$9*100</f>
        <v>0</v>
      </c>
      <c r="I15" s="191"/>
      <c r="J15" s="191"/>
    </row>
    <row r="16" spans="1:10" ht="48" customHeight="1" thickBot="1">
      <c r="A16" s="115" t="s">
        <v>166</v>
      </c>
      <c r="B16" s="20" t="s">
        <v>171</v>
      </c>
      <c r="C16" s="209">
        <v>0</v>
      </c>
      <c r="D16" s="44">
        <v>865000</v>
      </c>
      <c r="E16" s="44">
        <v>858369</v>
      </c>
      <c r="F16" s="227">
        <v>0</v>
      </c>
      <c r="G16" s="79">
        <f t="shared" si="0"/>
        <v>0</v>
      </c>
      <c r="H16" s="62">
        <f>F16/rashodi!$F$9*100</f>
        <v>0</v>
      </c>
      <c r="I16" s="191"/>
      <c r="J16" s="191"/>
    </row>
    <row r="17" spans="1:10" ht="24.75" customHeight="1" thickBot="1" thickTop="1">
      <c r="A17" s="84">
        <v>611</v>
      </c>
      <c r="B17" s="85" t="s">
        <v>105</v>
      </c>
      <c r="C17" s="210">
        <f>SUM(C4:C16)</f>
        <v>25923786.560000002</v>
      </c>
      <c r="D17" s="210">
        <f>SUM(D4:D16)</f>
        <v>25232920</v>
      </c>
      <c r="E17" s="210">
        <f>SUM(E4:E16)</f>
        <v>17016108.14</v>
      </c>
      <c r="F17" s="250">
        <f>SUM(F4:F16)</f>
        <v>23480000</v>
      </c>
      <c r="G17" s="103">
        <f t="shared" si="0"/>
        <v>93.0530434052024</v>
      </c>
      <c r="H17" s="63">
        <f>F17/rashodi!$F$9*100</f>
        <v>1.3322292526901485</v>
      </c>
      <c r="I17" s="191"/>
      <c r="J17" s="191"/>
    </row>
    <row r="18" spans="1:13" ht="24.75" customHeight="1" thickBot="1" thickTop="1">
      <c r="A18" s="97">
        <v>61211</v>
      </c>
      <c r="B18" s="98" t="s">
        <v>129</v>
      </c>
      <c r="C18" s="211">
        <v>2286074.48</v>
      </c>
      <c r="D18" s="99">
        <v>2066530</v>
      </c>
      <c r="E18" s="99">
        <v>1383790.18</v>
      </c>
      <c r="F18" s="249">
        <v>2040000</v>
      </c>
      <c r="G18" s="96">
        <f t="shared" si="0"/>
        <v>98.71620542648787</v>
      </c>
      <c r="H18" s="107">
        <f>F18/rashodi!$F$9*100</f>
        <v>0.1157473456340674</v>
      </c>
      <c r="I18" s="191"/>
      <c r="J18" s="70"/>
      <c r="K18" s="70"/>
      <c r="L18" s="70"/>
      <c r="M18" s="70"/>
    </row>
    <row r="19" spans="1:10" ht="24.75" customHeight="1" thickBot="1" thickTop="1">
      <c r="A19" s="86">
        <v>612</v>
      </c>
      <c r="B19" s="87" t="s">
        <v>147</v>
      </c>
      <c r="C19" s="212">
        <f>SUM(C18)</f>
        <v>2286074.48</v>
      </c>
      <c r="D19" s="212">
        <f>SUM(D18)</f>
        <v>2066530</v>
      </c>
      <c r="E19" s="212">
        <f>SUM(E18)</f>
        <v>1383790.18</v>
      </c>
      <c r="F19" s="251">
        <f>SUM(F18)</f>
        <v>2040000</v>
      </c>
      <c r="G19" s="106">
        <f t="shared" si="0"/>
        <v>98.71620542648787</v>
      </c>
      <c r="H19" s="64">
        <f>F19/rashodi!$F$9*100</f>
        <v>0.1157473456340674</v>
      </c>
      <c r="I19" s="191"/>
      <c r="J19" s="191"/>
    </row>
    <row r="20" spans="2:3" ht="12.75">
      <c r="B20" s="10"/>
      <c r="C20" s="10"/>
    </row>
    <row r="21" spans="2:3" ht="12.75">
      <c r="B21" s="10"/>
      <c r="C21" s="10"/>
    </row>
    <row r="22" spans="2:3" ht="12.75">
      <c r="B22" s="10"/>
      <c r="C22" s="10"/>
    </row>
    <row r="23" spans="2:3" ht="12.75">
      <c r="B23" s="10"/>
      <c r="C23" s="10"/>
    </row>
    <row r="24" spans="2:3" ht="12.75">
      <c r="B24" s="10"/>
      <c r="C24" s="10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  <row r="30" spans="2:3" ht="12.75">
      <c r="B30" s="10"/>
      <c r="C30" s="10"/>
    </row>
    <row r="31" spans="2:3" ht="12.75">
      <c r="B31" s="10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</sheetData>
  <sheetProtection/>
  <mergeCells count="1">
    <mergeCell ref="A1:B1"/>
  </mergeCells>
  <printOptions/>
  <pageMargins left="0.7480314960629921" right="0.7480314960629921" top="0.984251968503937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55"/>
  <sheetViews>
    <sheetView zoomScalePageLayoutView="0" workbookViewId="0" topLeftCell="A31">
      <selection activeCell="K39" sqref="K39"/>
    </sheetView>
  </sheetViews>
  <sheetFormatPr defaultColWidth="9.140625" defaultRowHeight="12.75"/>
  <cols>
    <col min="1" max="1" width="8.7109375" style="1" customWidth="1"/>
    <col min="2" max="2" width="21.8515625" style="1" customWidth="1"/>
    <col min="3" max="3" width="12.421875" style="1" customWidth="1"/>
    <col min="4" max="5" width="12.421875" style="11" customWidth="1"/>
    <col min="6" max="6" width="14.00390625" style="11" customWidth="1"/>
    <col min="7" max="7" width="9.140625" style="1" customWidth="1"/>
    <col min="8" max="8" width="8.7109375" style="1" customWidth="1"/>
    <col min="9" max="9" width="0" style="1" hidden="1" customWidth="1"/>
    <col min="10" max="10" width="15.00390625" style="11" customWidth="1"/>
    <col min="11" max="11" width="15.421875" style="1" bestFit="1" customWidth="1"/>
    <col min="12" max="12" width="13.28125" style="11" customWidth="1"/>
    <col min="13" max="13" width="11.140625" style="11" bestFit="1" customWidth="1"/>
    <col min="14" max="14" width="11.140625" style="11" customWidth="1"/>
    <col min="15" max="15" width="13.421875" style="1" customWidth="1"/>
    <col min="16" max="16" width="9.140625" style="1" customWidth="1"/>
    <col min="17" max="17" width="11.140625" style="1" bestFit="1" customWidth="1"/>
    <col min="18" max="16384" width="9.140625" style="1" customWidth="1"/>
  </cols>
  <sheetData>
    <row r="1" spans="1:8" ht="14.25" customHeight="1">
      <c r="A1" s="123" t="s">
        <v>278</v>
      </c>
      <c r="B1" s="123"/>
      <c r="C1" s="123"/>
      <c r="D1" s="123"/>
      <c r="E1" s="123"/>
      <c r="F1" s="123"/>
      <c r="G1" s="123"/>
      <c r="H1" s="123"/>
    </row>
    <row r="2" spans="1:8" ht="14.25" customHeight="1">
      <c r="A2" s="124" t="s">
        <v>0</v>
      </c>
      <c r="B2" s="123"/>
      <c r="C2" s="123"/>
      <c r="D2" s="123"/>
      <c r="E2" s="123"/>
      <c r="F2" s="123"/>
      <c r="G2" s="123"/>
      <c r="H2" s="123"/>
    </row>
    <row r="3" spans="1:68" ht="11.25" customHeight="1" thickBot="1">
      <c r="A3" s="310" t="s">
        <v>1</v>
      </c>
      <c r="B3" s="310"/>
      <c r="C3" s="173"/>
      <c r="D3" s="310"/>
      <c r="E3" s="310"/>
      <c r="F3" s="310"/>
      <c r="G3" s="310"/>
      <c r="H3" s="88">
        <v>1</v>
      </c>
      <c r="I3" s="22"/>
      <c r="J3" s="111"/>
      <c r="K3" s="22"/>
      <c r="L3" s="111"/>
      <c r="M3" s="111"/>
      <c r="N3" s="11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1:68" s="17" customFormat="1" ht="35.25" customHeight="1">
      <c r="A4" s="259" t="s">
        <v>2</v>
      </c>
      <c r="B4" s="260" t="s">
        <v>3</v>
      </c>
      <c r="C4" s="261" t="s">
        <v>301</v>
      </c>
      <c r="D4" s="262" t="s">
        <v>153</v>
      </c>
      <c r="E4" s="262" t="s">
        <v>313</v>
      </c>
      <c r="F4" s="262" t="s">
        <v>177</v>
      </c>
      <c r="G4" s="262" t="s">
        <v>178</v>
      </c>
      <c r="H4" s="263" t="s">
        <v>179</v>
      </c>
      <c r="I4" s="32"/>
      <c r="J4" s="174"/>
      <c r="K4" s="32"/>
      <c r="L4" s="174"/>
      <c r="M4" s="174"/>
      <c r="N4" s="17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</row>
    <row r="5" spans="1:68" s="17" customFormat="1" ht="12.75" customHeight="1" thickBot="1">
      <c r="A5" s="269">
        <v>1</v>
      </c>
      <c r="B5" s="270">
        <v>2</v>
      </c>
      <c r="C5" s="270">
        <v>3</v>
      </c>
      <c r="D5" s="271">
        <v>4</v>
      </c>
      <c r="E5" s="271">
        <v>5</v>
      </c>
      <c r="F5" s="271">
        <v>6</v>
      </c>
      <c r="G5" s="272" t="s">
        <v>311</v>
      </c>
      <c r="H5" s="273">
        <v>8</v>
      </c>
      <c r="I5" s="32"/>
      <c r="J5" s="174"/>
      <c r="K5" s="32"/>
      <c r="L5" s="174"/>
      <c r="M5" s="174"/>
      <c r="N5" s="174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ht="22.5" customHeight="1">
      <c r="A6" s="120" t="s">
        <v>110</v>
      </c>
      <c r="B6" s="171" t="s">
        <v>4</v>
      </c>
      <c r="C6" s="213">
        <v>1464817772.39</v>
      </c>
      <c r="D6" s="19">
        <v>1484000000</v>
      </c>
      <c r="E6" s="19">
        <v>965475329.21</v>
      </c>
      <c r="F6" s="180">
        <v>1495814000</v>
      </c>
      <c r="G6" s="78">
        <f>F6/D6*100</f>
        <v>100.79609164420485</v>
      </c>
      <c r="H6" s="68">
        <f>F6/$F$36*100</f>
        <v>87.17654656480988</v>
      </c>
      <c r="I6" s="70" t="e">
        <f>#REF!/#REF!*100</f>
        <v>#REF!</v>
      </c>
      <c r="J6" s="111"/>
      <c r="K6" s="22"/>
      <c r="L6" s="111"/>
      <c r="M6" s="111"/>
      <c r="N6" s="11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ht="33" customHeight="1">
      <c r="A7" s="120" t="s">
        <v>174</v>
      </c>
      <c r="B7" s="4" t="s">
        <v>173</v>
      </c>
      <c r="C7" s="208">
        <v>0</v>
      </c>
      <c r="D7" s="5">
        <v>35082836.52</v>
      </c>
      <c r="E7" s="6">
        <v>0</v>
      </c>
      <c r="F7" s="179">
        <v>0</v>
      </c>
      <c r="G7" s="72">
        <f>F7/D7*100</f>
        <v>0</v>
      </c>
      <c r="H7" s="65">
        <f aca="true" t="shared" si="0" ref="H7:H16">F7/$F$36*100</f>
        <v>0</v>
      </c>
      <c r="I7" s="70"/>
      <c r="J7" s="111"/>
      <c r="K7" s="22"/>
      <c r="L7" s="111"/>
      <c r="M7" s="111"/>
      <c r="N7" s="11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ht="22.5" customHeight="1">
      <c r="A8" s="120" t="s">
        <v>247</v>
      </c>
      <c r="B8" s="4" t="s">
        <v>248</v>
      </c>
      <c r="C8" s="208">
        <v>13622.94</v>
      </c>
      <c r="D8" s="290">
        <v>375000</v>
      </c>
      <c r="E8" s="6">
        <v>32741.18</v>
      </c>
      <c r="F8" s="179">
        <v>20000</v>
      </c>
      <c r="G8" s="287">
        <f>(F8+F9+F10+F11+F12)/D8*100</f>
        <v>107.73333333333332</v>
      </c>
      <c r="H8" s="65">
        <f t="shared" si="0"/>
        <v>0.001165606774168578</v>
      </c>
      <c r="I8" s="70"/>
      <c r="J8" s="111"/>
      <c r="K8" s="22"/>
      <c r="L8" s="111"/>
      <c r="M8" s="111"/>
      <c r="N8" s="11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ht="22.5" customHeight="1">
      <c r="A9" s="120" t="s">
        <v>250</v>
      </c>
      <c r="B9" s="4" t="s">
        <v>249</v>
      </c>
      <c r="C9" s="208">
        <v>179925.56</v>
      </c>
      <c r="D9" s="291"/>
      <c r="E9" s="6">
        <v>62022.3</v>
      </c>
      <c r="F9" s="179">
        <v>93000</v>
      </c>
      <c r="G9" s="289"/>
      <c r="H9" s="65">
        <f t="shared" si="0"/>
        <v>0.005420071499883889</v>
      </c>
      <c r="I9" s="70"/>
      <c r="J9" s="111"/>
      <c r="K9" s="22"/>
      <c r="L9" s="111"/>
      <c r="M9" s="111"/>
      <c r="N9" s="11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ht="22.5" customHeight="1">
      <c r="A10" s="120" t="s">
        <v>251</v>
      </c>
      <c r="B10" s="4" t="s">
        <v>252</v>
      </c>
      <c r="C10" s="208">
        <v>16400</v>
      </c>
      <c r="D10" s="291"/>
      <c r="E10" s="6">
        <v>10232.26</v>
      </c>
      <c r="F10" s="179">
        <v>15500</v>
      </c>
      <c r="G10" s="289"/>
      <c r="H10" s="65">
        <f t="shared" si="0"/>
        <v>0.0009033452499806481</v>
      </c>
      <c r="I10" s="70"/>
      <c r="J10" s="111"/>
      <c r="K10" s="22"/>
      <c r="L10" s="111"/>
      <c r="M10" s="111"/>
      <c r="N10" s="11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ht="22.5" customHeight="1">
      <c r="A11" s="120" t="s">
        <v>253</v>
      </c>
      <c r="B11" s="4" t="s">
        <v>254</v>
      </c>
      <c r="C11" s="208">
        <f>97789.11</f>
        <v>97789.11</v>
      </c>
      <c r="D11" s="291"/>
      <c r="E11" s="6">
        <v>150451.19</v>
      </c>
      <c r="F11" s="179">
        <v>225500</v>
      </c>
      <c r="G11" s="289"/>
      <c r="H11" s="65">
        <f t="shared" si="0"/>
        <v>0.013142216378750717</v>
      </c>
      <c r="I11" s="70"/>
      <c r="J11" s="111"/>
      <c r="K11" s="22"/>
      <c r="L11" s="111"/>
      <c r="M11" s="111"/>
      <c r="N11" s="11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ht="22.5" customHeight="1">
      <c r="A12" s="18" t="s">
        <v>255</v>
      </c>
      <c r="B12" s="7" t="s">
        <v>256</v>
      </c>
      <c r="C12" s="208">
        <v>134540.4</v>
      </c>
      <c r="D12" s="292"/>
      <c r="E12" s="6">
        <v>14005.36</v>
      </c>
      <c r="F12" s="179">
        <v>50000</v>
      </c>
      <c r="G12" s="288"/>
      <c r="H12" s="65">
        <f>F12/$F$36*100</f>
        <v>0.0029140169354214453</v>
      </c>
      <c r="I12" s="70" t="e">
        <f>#REF!/#REF!*100</f>
        <v>#REF!</v>
      </c>
      <c r="J12" s="111"/>
      <c r="K12" s="22"/>
      <c r="L12" s="111"/>
      <c r="M12" s="111"/>
      <c r="N12" s="11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ht="22.5" customHeight="1">
      <c r="A13" s="18" t="s">
        <v>111</v>
      </c>
      <c r="B13" s="7" t="s">
        <v>106</v>
      </c>
      <c r="C13" s="208">
        <f>330021.66+10.89</f>
        <v>330032.55</v>
      </c>
      <c r="D13" s="6">
        <v>480000</v>
      </c>
      <c r="E13" s="6">
        <v>227265.42</v>
      </c>
      <c r="F13" s="179">
        <v>350000</v>
      </c>
      <c r="G13" s="72">
        <f>F13/D13*100</f>
        <v>72.91666666666666</v>
      </c>
      <c r="H13" s="65">
        <f t="shared" si="0"/>
        <v>0.020398118547950116</v>
      </c>
      <c r="I13" s="70" t="e">
        <f>#REF!/#REF!*100</f>
        <v>#REF!</v>
      </c>
      <c r="J13" s="111"/>
      <c r="K13" s="22"/>
      <c r="L13" s="111"/>
      <c r="M13" s="111"/>
      <c r="N13" s="11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22.5" customHeight="1">
      <c r="A14" s="89" t="s">
        <v>244</v>
      </c>
      <c r="B14" s="4" t="s">
        <v>245</v>
      </c>
      <c r="C14" s="208">
        <v>473613.21</v>
      </c>
      <c r="D14" s="290">
        <v>1600000</v>
      </c>
      <c r="E14" s="6">
        <v>405752.22</v>
      </c>
      <c r="F14" s="179">
        <v>610000</v>
      </c>
      <c r="G14" s="287">
        <f>(F14+F15)/D14*100</f>
        <v>147.125</v>
      </c>
      <c r="H14" s="65">
        <f t="shared" si="0"/>
        <v>0.03555100661214164</v>
      </c>
      <c r="I14" s="70" t="e">
        <f>#REF!/#REF!*100</f>
        <v>#REF!</v>
      </c>
      <c r="J14" s="111"/>
      <c r="K14" s="22"/>
      <c r="L14" s="111"/>
      <c r="M14" s="111"/>
      <c r="N14" s="11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1:68" ht="22.5" customHeight="1">
      <c r="A15" s="89" t="s">
        <v>243</v>
      </c>
      <c r="B15" s="4" t="s">
        <v>246</v>
      </c>
      <c r="C15" s="208">
        <v>1130826.08</v>
      </c>
      <c r="D15" s="292"/>
      <c r="E15" s="6">
        <v>1163068.74</v>
      </c>
      <c r="F15" s="179">
        <v>1744000</v>
      </c>
      <c r="G15" s="288"/>
      <c r="H15" s="65">
        <f>F15/$F$36*100</f>
        <v>0.10164091070750002</v>
      </c>
      <c r="I15" s="70"/>
      <c r="J15" s="111"/>
      <c r="K15" s="22"/>
      <c r="L15" s="111"/>
      <c r="M15" s="111"/>
      <c r="N15" s="11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ht="22.5" customHeight="1">
      <c r="A16" s="18" t="s">
        <v>130</v>
      </c>
      <c r="B16" s="4" t="s">
        <v>107</v>
      </c>
      <c r="C16" s="208">
        <v>2351543.16</v>
      </c>
      <c r="D16" s="6">
        <v>2700000</v>
      </c>
      <c r="E16" s="6">
        <v>916964.98</v>
      </c>
      <c r="F16" s="179">
        <v>1400000</v>
      </c>
      <c r="G16" s="72">
        <f>F16/D16*100</f>
        <v>51.85185185185185</v>
      </c>
      <c r="H16" s="65">
        <f t="shared" si="0"/>
        <v>0.08159247419180046</v>
      </c>
      <c r="I16" s="70" t="e">
        <f>#REF!/#REF!*100</f>
        <v>#REF!</v>
      </c>
      <c r="J16" s="111"/>
      <c r="K16" s="22"/>
      <c r="L16" s="111"/>
      <c r="M16" s="111"/>
      <c r="N16" s="11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ht="22.5" customHeight="1" thickBot="1">
      <c r="A17" s="48" t="s">
        <v>112</v>
      </c>
      <c r="B17" s="46" t="s">
        <v>5</v>
      </c>
      <c r="C17" s="209">
        <v>522654.62</v>
      </c>
      <c r="D17" s="44">
        <v>580000</v>
      </c>
      <c r="E17" s="44">
        <v>270071.73</v>
      </c>
      <c r="F17" s="227">
        <v>405000</v>
      </c>
      <c r="G17" s="79">
        <f>F17/D17*100</f>
        <v>69.82758620689656</v>
      </c>
      <c r="H17" s="62">
        <f aca="true" t="shared" si="1" ref="H17:H36">F17/$F$36*100</f>
        <v>0.023603537176913707</v>
      </c>
      <c r="I17" s="70" t="e">
        <f>#REF!/#REF!*100</f>
        <v>#REF!</v>
      </c>
      <c r="J17" s="111"/>
      <c r="K17" s="22"/>
      <c r="L17" s="111"/>
      <c r="M17" s="111"/>
      <c r="N17" s="11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1:14" s="8" customFormat="1" ht="24" customHeight="1" thickBot="1" thickTop="1">
      <c r="A18" s="146"/>
      <c r="B18" s="147" t="s">
        <v>6</v>
      </c>
      <c r="C18" s="228">
        <f>SUM(C6:C17)</f>
        <v>1470068720.02</v>
      </c>
      <c r="D18" s="148">
        <f>SUM(D6:D17)</f>
        <v>1524817836.52</v>
      </c>
      <c r="E18" s="148">
        <f>SUM(E6:E17)</f>
        <v>968727904.59</v>
      </c>
      <c r="F18" s="148">
        <f>SUM(F6:F17)</f>
        <v>1500727000</v>
      </c>
      <c r="G18" s="149">
        <f>F18/D18*100</f>
        <v>98.42008429184033</v>
      </c>
      <c r="H18" s="150">
        <f t="shared" si="1"/>
        <v>87.46287786888439</v>
      </c>
      <c r="I18" s="70" t="e">
        <f>#REF!/#REF!*100</f>
        <v>#REF!</v>
      </c>
      <c r="J18" s="111"/>
      <c r="K18" s="71"/>
      <c r="L18" s="183"/>
      <c r="M18" s="175"/>
      <c r="N18" s="175"/>
    </row>
    <row r="19" spans="1:16" ht="69" customHeight="1" thickTop="1">
      <c r="A19" s="80" t="s">
        <v>131</v>
      </c>
      <c r="B19" s="81" t="s">
        <v>289</v>
      </c>
      <c r="C19" s="213">
        <v>18736441.33</v>
      </c>
      <c r="D19" s="19">
        <f>31963263.76/2</f>
        <v>15981631.88</v>
      </c>
      <c r="E19" s="19">
        <v>21080877.46</v>
      </c>
      <c r="F19" s="177">
        <v>15754000</v>
      </c>
      <c r="G19" s="280">
        <f>F19/D19*100</f>
        <v>98.57566560343022</v>
      </c>
      <c r="H19" s="281">
        <f t="shared" si="1"/>
        <v>0.918148456012589</v>
      </c>
      <c r="J19" s="111"/>
      <c r="K19" s="169"/>
      <c r="O19" s="11"/>
      <c r="P19" s="11"/>
    </row>
    <row r="20" spans="1:15" ht="57.75" customHeight="1">
      <c r="A20" s="77" t="s">
        <v>133</v>
      </c>
      <c r="B20" s="4" t="s">
        <v>290</v>
      </c>
      <c r="C20" s="208">
        <v>25560106.24</v>
      </c>
      <c r="D20" s="6">
        <f>45026622.88/2</f>
        <v>22513311.44</v>
      </c>
      <c r="E20" s="6">
        <v>28027075.63</v>
      </c>
      <c r="F20" s="178">
        <v>22255000</v>
      </c>
      <c r="G20" s="246">
        <f aca="true" t="shared" si="2" ref="G20:G28">F20/D20*100</f>
        <v>98.85262796328996</v>
      </c>
      <c r="H20" s="164">
        <f t="shared" si="1"/>
        <v>1.2970289379560853</v>
      </c>
      <c r="J20" s="111"/>
      <c r="K20" s="169"/>
      <c r="N20" s="176"/>
      <c r="O20" s="11"/>
    </row>
    <row r="21" spans="1:15" ht="55.5" customHeight="1">
      <c r="A21" s="77" t="s">
        <v>132</v>
      </c>
      <c r="B21" s="4" t="s">
        <v>307</v>
      </c>
      <c r="C21" s="208">
        <v>38407946.07</v>
      </c>
      <c r="D21" s="6">
        <v>33265496.94</v>
      </c>
      <c r="E21" s="6">
        <v>24219102.27</v>
      </c>
      <c r="F21" s="179">
        <v>32430275</v>
      </c>
      <c r="G21" s="246">
        <f t="shared" si="2"/>
        <v>97.48922452141187</v>
      </c>
      <c r="H21" s="164">
        <f t="shared" si="1"/>
        <v>1.890047411407494</v>
      </c>
      <c r="J21" s="111"/>
      <c r="N21" s="176"/>
      <c r="O21" s="184"/>
    </row>
    <row r="22" spans="1:10" ht="56.25" customHeight="1">
      <c r="A22" s="80" t="s">
        <v>134</v>
      </c>
      <c r="B22" s="21" t="s">
        <v>308</v>
      </c>
      <c r="C22" s="208">
        <v>10841550.95</v>
      </c>
      <c r="D22" s="19">
        <v>10830141.07</v>
      </c>
      <c r="E22" s="19">
        <v>7953583.89</v>
      </c>
      <c r="F22" s="180">
        <v>12779135</v>
      </c>
      <c r="G22" s="246">
        <f t="shared" si="2"/>
        <v>117.99601609436839</v>
      </c>
      <c r="H22" s="163">
        <f t="shared" si="1"/>
        <v>0.7447723162007387</v>
      </c>
      <c r="J22" s="111"/>
    </row>
    <row r="23" spans="1:14" ht="67.5" customHeight="1">
      <c r="A23" s="77" t="s">
        <v>135</v>
      </c>
      <c r="B23" s="4" t="s">
        <v>309</v>
      </c>
      <c r="C23" s="208">
        <v>71166519.58</v>
      </c>
      <c r="D23" s="129">
        <v>86692738.76</v>
      </c>
      <c r="E23" s="6">
        <v>40867299.17</v>
      </c>
      <c r="F23" s="179">
        <v>94353988</v>
      </c>
      <c r="G23" s="246">
        <f t="shared" si="2"/>
        <v>108.83724444466955</v>
      </c>
      <c r="H23" s="164">
        <f t="shared" si="1"/>
        <v>5.498982379131037</v>
      </c>
      <c r="J23" s="111"/>
      <c r="M23" s="176"/>
      <c r="N23" s="176"/>
    </row>
    <row r="24" spans="1:10" ht="58.5" customHeight="1" thickBot="1">
      <c r="A24" s="255" t="s">
        <v>136</v>
      </c>
      <c r="B24" s="112" t="s">
        <v>310</v>
      </c>
      <c r="C24" s="216">
        <v>5437435.83</v>
      </c>
      <c r="D24" s="256">
        <v>5157071.11</v>
      </c>
      <c r="E24" s="102">
        <v>3936609.89</v>
      </c>
      <c r="F24" s="181">
        <v>4997513</v>
      </c>
      <c r="G24" s="257">
        <f t="shared" si="2"/>
        <v>96.90603238550263</v>
      </c>
      <c r="H24" s="258">
        <f t="shared" si="1"/>
        <v>0.29125675033977666</v>
      </c>
      <c r="J24" s="111"/>
    </row>
    <row r="25" spans="1:14" ht="68.25" customHeight="1">
      <c r="A25" s="193" t="s">
        <v>168</v>
      </c>
      <c r="B25" s="49" t="s">
        <v>291</v>
      </c>
      <c r="C25" s="233"/>
      <c r="D25" s="305">
        <v>26038655.18</v>
      </c>
      <c r="E25" s="194">
        <v>8496215.72</v>
      </c>
      <c r="F25" s="195">
        <v>5033107</v>
      </c>
      <c r="G25" s="308">
        <f>(F25+F26)/D25*100</f>
        <v>25.874131952770075</v>
      </c>
      <c r="H25" s="196">
        <f t="shared" si="1"/>
        <v>0.29333118071576453</v>
      </c>
      <c r="J25" s="111"/>
      <c r="K25" s="169"/>
      <c r="M25" s="176"/>
      <c r="N25" s="176"/>
    </row>
    <row r="26" spans="1:16" ht="22.5" customHeight="1">
      <c r="A26" s="91" t="s">
        <v>279</v>
      </c>
      <c r="B26" s="92" t="s">
        <v>302</v>
      </c>
      <c r="C26" s="208"/>
      <c r="D26" s="292"/>
      <c r="E26" s="19">
        <v>2513524.43</v>
      </c>
      <c r="F26" s="178">
        <v>1704169</v>
      </c>
      <c r="G26" s="309"/>
      <c r="H26" s="164">
        <f t="shared" si="1"/>
        <v>0.09931954653640458</v>
      </c>
      <c r="J26" s="111"/>
      <c r="K26" s="169"/>
      <c r="M26" s="176"/>
      <c r="N26" s="176"/>
      <c r="P26" s="11"/>
    </row>
    <row r="27" spans="1:10" ht="81" customHeight="1">
      <c r="A27" s="77"/>
      <c r="B27" s="4" t="s">
        <v>293</v>
      </c>
      <c r="C27" s="208"/>
      <c r="D27" s="129">
        <v>5638942.1</v>
      </c>
      <c r="E27" s="6"/>
      <c r="F27" s="179">
        <v>5648385</v>
      </c>
      <c r="G27" s="246">
        <f t="shared" si="2"/>
        <v>100.16745871535018</v>
      </c>
      <c r="H27" s="164">
        <f t="shared" si="1"/>
        <v>0.3291897909556092</v>
      </c>
      <c r="J27" s="111"/>
    </row>
    <row r="28" spans="1:11" ht="78.75" customHeight="1" thickBot="1">
      <c r="A28" s="90" t="s">
        <v>280</v>
      </c>
      <c r="B28" s="20" t="s">
        <v>292</v>
      </c>
      <c r="C28" s="209"/>
      <c r="D28" s="44"/>
      <c r="E28" s="44">
        <v>317703.1</v>
      </c>
      <c r="F28" s="182">
        <v>2063964.38</v>
      </c>
      <c r="G28" s="158" t="e">
        <f t="shared" si="2"/>
        <v>#DIV/0!</v>
      </c>
      <c r="H28" s="165">
        <f t="shared" si="1"/>
        <v>0.12028854314853246</v>
      </c>
      <c r="J28" s="111"/>
      <c r="K28" s="169"/>
    </row>
    <row r="29" spans="1:17" ht="22.5" customHeight="1" thickTop="1">
      <c r="A29" s="145" t="s">
        <v>281</v>
      </c>
      <c r="B29" s="143" t="s">
        <v>294</v>
      </c>
      <c r="C29" s="224">
        <f>SUM(C19:C28)</f>
        <v>170150000</v>
      </c>
      <c r="D29" s="144">
        <f>SUM(D19:D28)</f>
        <v>206117988.48000005</v>
      </c>
      <c r="E29" s="144">
        <f>SUM(E19:E28)</f>
        <v>137411991.56</v>
      </c>
      <c r="F29" s="144">
        <f>SUM(F19:F27,F28)</f>
        <v>197019536.38</v>
      </c>
      <c r="G29" s="246">
        <f aca="true" t="shared" si="3" ref="G29:G35">F29/D29*100</f>
        <v>95.58580395282536</v>
      </c>
      <c r="H29" s="163">
        <f t="shared" si="1"/>
        <v>11.482365312404031</v>
      </c>
      <c r="J29" s="111"/>
      <c r="L29" s="176"/>
      <c r="M29" s="176"/>
      <c r="N29" s="176"/>
      <c r="O29" s="184"/>
      <c r="Q29" s="176"/>
    </row>
    <row r="30" spans="1:15" ht="22.5" customHeight="1" thickBot="1">
      <c r="A30" s="90"/>
      <c r="B30" s="142" t="s">
        <v>284</v>
      </c>
      <c r="C30" s="209"/>
      <c r="D30" s="44"/>
      <c r="E30" s="44"/>
      <c r="F30" s="131">
        <v>18097987.11</v>
      </c>
      <c r="G30" s="158" t="e">
        <f t="shared" si="3"/>
        <v>#DIV/0!</v>
      </c>
      <c r="H30" s="165">
        <f t="shared" si="1"/>
        <v>1.0547568187115803</v>
      </c>
      <c r="J30" s="111"/>
      <c r="O30" s="11"/>
    </row>
    <row r="31" spans="1:15" ht="22.5" customHeight="1" thickBot="1" thickTop="1">
      <c r="A31" s="229"/>
      <c r="B31" s="155" t="s">
        <v>295</v>
      </c>
      <c r="C31" s="228">
        <f>C29+C30</f>
        <v>170150000</v>
      </c>
      <c r="D31" s="148">
        <f>D29+D30</f>
        <v>206117988.48000005</v>
      </c>
      <c r="E31" s="148">
        <f>SUM(E29:E30)</f>
        <v>137411991.56</v>
      </c>
      <c r="F31" s="148">
        <f>SUM(F29:F30)</f>
        <v>215117523.49</v>
      </c>
      <c r="G31" s="225">
        <f t="shared" si="3"/>
        <v>104.36620552935058</v>
      </c>
      <c r="H31" s="226">
        <f t="shared" si="1"/>
        <v>12.537122131115613</v>
      </c>
      <c r="J31" s="111"/>
      <c r="O31" s="11"/>
    </row>
    <row r="32" spans="1:10" ht="45.75" customHeight="1" thickTop="1">
      <c r="A32" s="160" t="s">
        <v>283</v>
      </c>
      <c r="B32" s="161" t="s">
        <v>169</v>
      </c>
      <c r="C32" s="231"/>
      <c r="D32" s="141">
        <v>11997835</v>
      </c>
      <c r="E32" s="306">
        <v>17293805</v>
      </c>
      <c r="F32" s="141"/>
      <c r="G32" s="162">
        <f t="shared" si="3"/>
        <v>0</v>
      </c>
      <c r="H32" s="166">
        <f t="shared" si="1"/>
        <v>0</v>
      </c>
      <c r="J32" s="111"/>
    </row>
    <row r="33" spans="1:10" ht="46.5" customHeight="1" thickBot="1">
      <c r="A33" s="90" t="s">
        <v>283</v>
      </c>
      <c r="B33" s="20" t="s">
        <v>170</v>
      </c>
      <c r="C33" s="209"/>
      <c r="D33" s="44">
        <v>11997835</v>
      </c>
      <c r="E33" s="307"/>
      <c r="F33" s="44"/>
      <c r="G33" s="158">
        <f t="shared" si="3"/>
        <v>0</v>
      </c>
      <c r="H33" s="165">
        <f t="shared" si="1"/>
        <v>0</v>
      </c>
      <c r="J33" s="111"/>
    </row>
    <row r="34" spans="1:10" ht="23.25" customHeight="1" thickBot="1" thickTop="1">
      <c r="A34" s="154"/>
      <c r="B34" s="155" t="s">
        <v>282</v>
      </c>
      <c r="C34" s="230"/>
      <c r="D34" s="148">
        <f>SUM(D32:D33)</f>
        <v>23995670</v>
      </c>
      <c r="E34" s="148">
        <f>SUM(E32:E33)</f>
        <v>17293805</v>
      </c>
      <c r="F34" s="148">
        <f>SUM(F32:F33)</f>
        <v>0</v>
      </c>
      <c r="G34" s="157">
        <f t="shared" si="3"/>
        <v>0</v>
      </c>
      <c r="H34" s="167">
        <f t="shared" si="1"/>
        <v>0</v>
      </c>
      <c r="J34" s="111"/>
    </row>
    <row r="35" spans="1:10" ht="22.5" customHeight="1" thickBot="1" thickTop="1">
      <c r="A35" s="134" t="s">
        <v>300</v>
      </c>
      <c r="B35" s="98" t="s">
        <v>172</v>
      </c>
      <c r="C35" s="211">
        <v>86150</v>
      </c>
      <c r="D35" s="99"/>
      <c r="E35" s="99">
        <v>84700</v>
      </c>
      <c r="F35" s="99"/>
      <c r="G35" s="159" t="e">
        <f t="shared" si="3"/>
        <v>#DIV/0!</v>
      </c>
      <c r="H35" s="168">
        <f t="shared" si="1"/>
        <v>0</v>
      </c>
      <c r="J35" s="111"/>
    </row>
    <row r="36" spans="1:14" s="8" customFormat="1" ht="22.5" customHeight="1" thickBot="1" thickTop="1">
      <c r="A36" s="151">
        <v>7</v>
      </c>
      <c r="B36" s="156" t="s">
        <v>7</v>
      </c>
      <c r="C36" s="234">
        <f>C18+C31+C34+C35</f>
        <v>1640304870.02</v>
      </c>
      <c r="D36" s="234">
        <f>D18+D31+D34+D35</f>
        <v>1754931495</v>
      </c>
      <c r="E36" s="234">
        <f>E18+E31+E34+E35</f>
        <v>1123518401.15</v>
      </c>
      <c r="F36" s="234">
        <f>F18+F31+F34+F35</f>
        <v>1715844523.49</v>
      </c>
      <c r="G36" s="152">
        <f>F36/D36*100</f>
        <v>97.7727351967092</v>
      </c>
      <c r="H36" s="153">
        <f t="shared" si="1"/>
        <v>100</v>
      </c>
      <c r="J36" s="111"/>
      <c r="K36" s="175">
        <f>F36-D36</f>
        <v>-39086971.50999999</v>
      </c>
      <c r="L36" s="175"/>
      <c r="M36" s="175"/>
      <c r="N36" s="175"/>
    </row>
    <row r="37" spans="1:11" ht="12.75">
      <c r="A37" s="2"/>
      <c r="K37" s="1">
        <f>F36*100/D36</f>
        <v>97.7727351967092</v>
      </c>
    </row>
    <row r="38" spans="1:11" ht="12.75">
      <c r="A38" s="2"/>
      <c r="K38" s="1">
        <f>100-K37</f>
        <v>2.227264803290794</v>
      </c>
    </row>
    <row r="39" spans="1:8" ht="12.75">
      <c r="A39" s="2"/>
      <c r="H39" s="23"/>
    </row>
    <row r="40" ht="12.75">
      <c r="A40" s="2"/>
    </row>
    <row r="41" ht="12.75">
      <c r="A41" s="2"/>
    </row>
    <row r="42" ht="12.75">
      <c r="A42" s="2"/>
    </row>
    <row r="43" spans="1:8" ht="12.75">
      <c r="A43" s="2"/>
      <c r="H43" s="23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sheetProtection/>
  <mergeCells count="9">
    <mergeCell ref="D25:D26"/>
    <mergeCell ref="E32:E33"/>
    <mergeCell ref="G8:G12"/>
    <mergeCell ref="G14:G15"/>
    <mergeCell ref="G25:G26"/>
    <mergeCell ref="A3:B3"/>
    <mergeCell ref="D3:G3"/>
    <mergeCell ref="D14:D15"/>
    <mergeCell ref="D8:D1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941"/>
  <sheetViews>
    <sheetView zoomScalePageLayoutView="0" workbookViewId="0" topLeftCell="A5">
      <selection activeCell="E8" sqref="E8"/>
    </sheetView>
  </sheetViews>
  <sheetFormatPr defaultColWidth="9.140625" defaultRowHeight="12.75"/>
  <cols>
    <col min="1" max="1" width="8.421875" style="1" customWidth="1"/>
    <col min="2" max="2" width="19.00390625" style="1" customWidth="1"/>
    <col min="3" max="3" width="10.00390625" style="1" customWidth="1"/>
    <col min="4" max="4" width="9.8515625" style="1" customWidth="1"/>
    <col min="5" max="5" width="10.28125" style="1" customWidth="1"/>
    <col min="6" max="6" width="10.00390625" style="1" customWidth="1"/>
    <col min="7" max="7" width="11.57421875" style="1" customWidth="1"/>
    <col min="8" max="8" width="8.8515625" style="1" customWidth="1"/>
    <col min="9" max="16384" width="9.140625" style="1" customWidth="1"/>
  </cols>
  <sheetData>
    <row r="1" spans="2:70" ht="6.75" customHeight="1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6" customHeight="1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1:70" ht="5.25" customHeight="1" hidden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ht="5.25" customHeight="1" hidden="1"/>
    <row r="5" spans="1:66" ht="18" customHeight="1" thickBot="1">
      <c r="A5" s="22"/>
      <c r="B5" s="22"/>
      <c r="C5" s="22"/>
      <c r="D5" s="22"/>
      <c r="E5" s="22"/>
      <c r="F5" s="22"/>
      <c r="G5" s="22"/>
      <c r="H5" s="22">
        <v>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57" s="17" customFormat="1" ht="37.5" customHeight="1">
      <c r="A6" s="259" t="s">
        <v>2</v>
      </c>
      <c r="B6" s="260" t="s">
        <v>3</v>
      </c>
      <c r="C6" s="261" t="s">
        <v>301</v>
      </c>
      <c r="D6" s="262" t="s">
        <v>153</v>
      </c>
      <c r="E6" s="262" t="s">
        <v>314</v>
      </c>
      <c r="F6" s="262" t="s">
        <v>177</v>
      </c>
      <c r="G6" s="262" t="s">
        <v>178</v>
      </c>
      <c r="H6" s="263" t="s">
        <v>179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6" s="17" customFormat="1" ht="12.75" customHeight="1" hidden="1" thickBot="1">
      <c r="A7" s="50"/>
      <c r="B7" s="50"/>
      <c r="C7" s="199"/>
      <c r="D7" s="38"/>
      <c r="E7" s="38"/>
      <c r="F7" s="38"/>
      <c r="G7" s="38"/>
      <c r="H7" s="39"/>
      <c r="I7" s="52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32"/>
      <c r="BD7" s="47"/>
    </row>
    <row r="8" spans="1:56" s="17" customFormat="1" ht="12.75" customHeight="1" thickBot="1">
      <c r="A8" s="269">
        <v>1</v>
      </c>
      <c r="B8" s="270">
        <v>2</v>
      </c>
      <c r="C8" s="270">
        <v>3</v>
      </c>
      <c r="D8" s="271">
        <v>4</v>
      </c>
      <c r="E8" s="271">
        <v>5</v>
      </c>
      <c r="F8" s="271">
        <v>6</v>
      </c>
      <c r="G8" s="272" t="s">
        <v>311</v>
      </c>
      <c r="H8" s="273">
        <v>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</row>
    <row r="9" spans="1:66" ht="24.75" customHeight="1">
      <c r="A9" s="12" t="s">
        <v>183</v>
      </c>
      <c r="B9" s="4" t="s">
        <v>180</v>
      </c>
      <c r="C9" s="208">
        <v>5695.62</v>
      </c>
      <c r="D9" s="290">
        <v>9300</v>
      </c>
      <c r="E9" s="6">
        <v>2581.5</v>
      </c>
      <c r="F9" s="179">
        <v>6000</v>
      </c>
      <c r="G9" s="311">
        <f>(F9+F10)/D9*100</f>
        <v>86.02150537634408</v>
      </c>
      <c r="H9" s="65">
        <f>F9/rashodi!$F$9*100</f>
        <v>0.000340433369511963</v>
      </c>
      <c r="I9" s="11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ht="24.75" customHeight="1">
      <c r="A10" s="12" t="s">
        <v>182</v>
      </c>
      <c r="B10" s="4" t="s">
        <v>181</v>
      </c>
      <c r="C10" s="208">
        <v>0</v>
      </c>
      <c r="D10" s="292"/>
      <c r="E10" s="6">
        <v>0</v>
      </c>
      <c r="F10" s="179">
        <v>2000</v>
      </c>
      <c r="G10" s="312"/>
      <c r="H10" s="65">
        <f>F10/rashodi!$F$9*100</f>
        <v>0.00011347778983732099</v>
      </c>
      <c r="I10" s="11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ht="24.75" customHeight="1">
      <c r="A11" s="3" t="s">
        <v>27</v>
      </c>
      <c r="B11" s="4" t="s">
        <v>28</v>
      </c>
      <c r="C11" s="208">
        <v>16960.45</v>
      </c>
      <c r="D11" s="6">
        <v>15000</v>
      </c>
      <c r="E11" s="6">
        <v>11232.64</v>
      </c>
      <c r="F11" s="179">
        <v>15000</v>
      </c>
      <c r="G11" s="74">
        <f>F11/D11*100</f>
        <v>100</v>
      </c>
      <c r="H11" s="65">
        <f>F11/rashodi!$F$9*100</f>
        <v>0.0008510834237799073</v>
      </c>
      <c r="I11" s="11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24.75" customHeight="1">
      <c r="A12" s="3" t="s">
        <v>29</v>
      </c>
      <c r="B12" s="4" t="s">
        <v>30</v>
      </c>
      <c r="C12" s="208">
        <v>24455.45</v>
      </c>
      <c r="D12" s="6">
        <v>64200</v>
      </c>
      <c r="E12" s="6">
        <v>22417</v>
      </c>
      <c r="F12" s="179">
        <v>40000</v>
      </c>
      <c r="G12" s="74">
        <f aca="true" t="shared" si="0" ref="G12:G31">F12/D12*100</f>
        <v>62.30529595015576</v>
      </c>
      <c r="H12" s="65">
        <f>F12/rashodi!$F$9*100</f>
        <v>0.0022695557967464196</v>
      </c>
      <c r="I12" s="11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24.75" customHeight="1">
      <c r="A13" s="12" t="s">
        <v>144</v>
      </c>
      <c r="B13" s="4" t="s">
        <v>162</v>
      </c>
      <c r="C13" s="208">
        <v>117566.5</v>
      </c>
      <c r="D13" s="6">
        <v>65000</v>
      </c>
      <c r="E13" s="6">
        <v>38454</v>
      </c>
      <c r="F13" s="179">
        <v>64000</v>
      </c>
      <c r="G13" s="74">
        <f t="shared" si="0"/>
        <v>98.46153846153847</v>
      </c>
      <c r="H13" s="65">
        <f>F13/rashodi!$F$9*100</f>
        <v>0.0036312892747942718</v>
      </c>
      <c r="I13" s="11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ht="24.75" customHeight="1">
      <c r="A14" s="12" t="s">
        <v>185</v>
      </c>
      <c r="B14" s="4" t="s">
        <v>186</v>
      </c>
      <c r="C14" s="208">
        <v>6735.53</v>
      </c>
      <c r="D14" s="290">
        <v>19000</v>
      </c>
      <c r="E14" s="6">
        <v>3725.12</v>
      </c>
      <c r="F14" s="179">
        <v>8000</v>
      </c>
      <c r="G14" s="311">
        <f>(F14+F15)/D14*100</f>
        <v>52.63157894736842</v>
      </c>
      <c r="H14" s="65">
        <f>F14/rashodi!$F$9*100</f>
        <v>0.00045391115934928397</v>
      </c>
      <c r="I14" s="11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ht="24.75" customHeight="1">
      <c r="A15" s="12" t="s">
        <v>184</v>
      </c>
      <c r="B15" s="4" t="s">
        <v>187</v>
      </c>
      <c r="C15" s="208">
        <v>82.4</v>
      </c>
      <c r="D15" s="292"/>
      <c r="E15" s="6">
        <v>0</v>
      </c>
      <c r="F15" s="179">
        <v>2000</v>
      </c>
      <c r="G15" s="312"/>
      <c r="H15" s="65">
        <f>F15/rashodi!$F$9*100</f>
        <v>0.00011347778983732099</v>
      </c>
      <c r="I15" s="11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24.75" customHeight="1">
      <c r="A16" s="3" t="s">
        <v>31</v>
      </c>
      <c r="B16" s="4" t="s">
        <v>188</v>
      </c>
      <c r="C16" s="208">
        <v>7671.97</v>
      </c>
      <c r="D16" s="6">
        <v>13100</v>
      </c>
      <c r="E16" s="6">
        <v>7224.36</v>
      </c>
      <c r="F16" s="179">
        <v>13000</v>
      </c>
      <c r="G16" s="74">
        <f t="shared" si="0"/>
        <v>99.23664122137404</v>
      </c>
      <c r="H16" s="65">
        <f>F16/rashodi!$F$9*100</f>
        <v>0.0007376056339425864</v>
      </c>
      <c r="I16" s="1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24.75" customHeight="1">
      <c r="A17" s="3" t="s">
        <v>32</v>
      </c>
      <c r="B17" s="7" t="s">
        <v>189</v>
      </c>
      <c r="C17" s="207">
        <v>15737.23</v>
      </c>
      <c r="D17" s="6">
        <v>15271</v>
      </c>
      <c r="E17" s="6">
        <v>6382.29</v>
      </c>
      <c r="F17" s="179">
        <v>13000</v>
      </c>
      <c r="G17" s="74">
        <f t="shared" si="0"/>
        <v>85.12867526684566</v>
      </c>
      <c r="H17" s="65">
        <f>F17/rashodi!$F$9*100</f>
        <v>0.0007376056339425864</v>
      </c>
      <c r="I17" s="11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ht="24.75" customHeight="1">
      <c r="A18" s="3" t="s">
        <v>33</v>
      </c>
      <c r="B18" s="4" t="s">
        <v>163</v>
      </c>
      <c r="C18" s="208">
        <v>1686.18</v>
      </c>
      <c r="D18" s="6">
        <v>3600</v>
      </c>
      <c r="E18" s="6">
        <v>1694.93</v>
      </c>
      <c r="F18" s="179">
        <v>3000</v>
      </c>
      <c r="G18" s="74">
        <f t="shared" si="0"/>
        <v>83.33333333333334</v>
      </c>
      <c r="H18" s="65">
        <f>F18/rashodi!$F$9*100</f>
        <v>0.0001702166847559815</v>
      </c>
      <c r="I18" s="11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ht="24.75" customHeight="1">
      <c r="A19" s="3" t="s">
        <v>34</v>
      </c>
      <c r="B19" s="7" t="s">
        <v>35</v>
      </c>
      <c r="C19" s="207">
        <v>368050.32</v>
      </c>
      <c r="D19" s="6">
        <v>425000</v>
      </c>
      <c r="E19" s="6">
        <f>235528.09-12614.84</f>
        <v>222913.25</v>
      </c>
      <c r="F19" s="179">
        <v>400000</v>
      </c>
      <c r="G19" s="74">
        <f t="shared" si="0"/>
        <v>94.11764705882352</v>
      </c>
      <c r="H19" s="65">
        <f>F19/rashodi!$F$9*100</f>
        <v>0.022695557967464197</v>
      </c>
      <c r="I19" s="111"/>
      <c r="J19" s="22"/>
      <c r="K19" s="111"/>
      <c r="L19" s="111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12" ht="24.75" customHeight="1">
      <c r="A20" s="3" t="s">
        <v>36</v>
      </c>
      <c r="B20" s="7" t="s">
        <v>37</v>
      </c>
      <c r="C20" s="207">
        <v>244210.89</v>
      </c>
      <c r="D20" s="6">
        <v>235000</v>
      </c>
      <c r="E20" s="6">
        <f>105609.68+12614.84</f>
        <v>118224.51999999999</v>
      </c>
      <c r="F20" s="179">
        <v>220000</v>
      </c>
      <c r="G20" s="74">
        <f t="shared" si="0"/>
        <v>93.61702127659575</v>
      </c>
      <c r="H20" s="65">
        <f>F20/rashodi!$F$9*100</f>
        <v>0.012482556882105308</v>
      </c>
      <c r="I20" s="111"/>
      <c r="K20" s="111"/>
      <c r="L20" s="111"/>
    </row>
    <row r="21" spans="1:9" ht="24.75" customHeight="1">
      <c r="A21" s="3" t="s">
        <v>38</v>
      </c>
      <c r="B21" s="7" t="s">
        <v>39</v>
      </c>
      <c r="C21" s="207">
        <v>66327</v>
      </c>
      <c r="D21" s="6">
        <v>86000</v>
      </c>
      <c r="E21" s="6">
        <v>15540</v>
      </c>
      <c r="F21" s="179">
        <v>86000</v>
      </c>
      <c r="G21" s="74">
        <f t="shared" si="0"/>
        <v>100</v>
      </c>
      <c r="H21" s="65">
        <f>F21/rashodi!$F$9*100</f>
        <v>0.004879544963004802</v>
      </c>
      <c r="I21" s="111"/>
    </row>
    <row r="22" spans="1:9" ht="24.75" customHeight="1">
      <c r="A22" s="12" t="s">
        <v>190</v>
      </c>
      <c r="B22" s="7" t="s">
        <v>193</v>
      </c>
      <c r="C22" s="207">
        <v>0</v>
      </c>
      <c r="D22" s="290">
        <v>9800</v>
      </c>
      <c r="E22" s="6">
        <v>0</v>
      </c>
      <c r="F22" s="179">
        <v>0</v>
      </c>
      <c r="G22" s="311">
        <f>(F22+F23+F24)/D22*100</f>
        <v>71.42857142857143</v>
      </c>
      <c r="H22" s="65">
        <f>F22/rashodi!$F$9*100</f>
        <v>0</v>
      </c>
      <c r="I22" s="111"/>
    </row>
    <row r="23" spans="1:9" ht="24.75" customHeight="1">
      <c r="A23" s="12" t="s">
        <v>191</v>
      </c>
      <c r="B23" s="7" t="s">
        <v>194</v>
      </c>
      <c r="C23" s="207">
        <v>0</v>
      </c>
      <c r="D23" s="291"/>
      <c r="E23" s="6">
        <v>0</v>
      </c>
      <c r="F23" s="179">
        <v>0</v>
      </c>
      <c r="G23" s="313"/>
      <c r="H23" s="65">
        <f>F23/rashodi!$F$9*100</f>
        <v>0</v>
      </c>
      <c r="I23" s="111"/>
    </row>
    <row r="24" spans="1:9" ht="24.75" customHeight="1">
      <c r="A24" s="12" t="s">
        <v>192</v>
      </c>
      <c r="B24" s="7" t="s">
        <v>195</v>
      </c>
      <c r="C24" s="207">
        <v>4880</v>
      </c>
      <c r="D24" s="292"/>
      <c r="E24" s="6">
        <v>900</v>
      </c>
      <c r="F24" s="179">
        <v>7000</v>
      </c>
      <c r="G24" s="312"/>
      <c r="H24" s="65">
        <f>F24/rashodi!$F$9*100</f>
        <v>0.00039717226443062345</v>
      </c>
      <c r="I24" s="111"/>
    </row>
    <row r="25" spans="1:9" ht="24.75" customHeight="1">
      <c r="A25" s="12" t="s">
        <v>154</v>
      </c>
      <c r="B25" s="7" t="s">
        <v>158</v>
      </c>
      <c r="C25" s="207">
        <v>263338.21</v>
      </c>
      <c r="D25" s="6">
        <v>250000</v>
      </c>
      <c r="E25" s="6">
        <v>140330.4</v>
      </c>
      <c r="F25" s="179">
        <v>240000</v>
      </c>
      <c r="G25" s="74">
        <f t="shared" si="0"/>
        <v>96</v>
      </c>
      <c r="H25" s="65">
        <f>F25/rashodi!$F$9*100</f>
        <v>0.013617334780478517</v>
      </c>
      <c r="I25" s="111"/>
    </row>
    <row r="26" spans="1:13" ht="24.75" customHeight="1">
      <c r="A26" s="12" t="s">
        <v>155</v>
      </c>
      <c r="B26" s="7" t="s">
        <v>159</v>
      </c>
      <c r="C26" s="207">
        <v>197287.61</v>
      </c>
      <c r="D26" s="6">
        <v>230000</v>
      </c>
      <c r="E26" s="6">
        <v>116360.42</v>
      </c>
      <c r="F26" s="179">
        <v>220000</v>
      </c>
      <c r="G26" s="74">
        <f t="shared" si="0"/>
        <v>95.65217391304348</v>
      </c>
      <c r="H26" s="65">
        <f>F26/rashodi!$F$9*100</f>
        <v>0.012482556882105308</v>
      </c>
      <c r="I26" s="111"/>
      <c r="K26" s="11"/>
      <c r="L26" s="11"/>
      <c r="M26" s="11"/>
    </row>
    <row r="27" spans="1:9" ht="24.75" customHeight="1">
      <c r="A27" s="12" t="s">
        <v>156</v>
      </c>
      <c r="B27" s="7" t="s">
        <v>160</v>
      </c>
      <c r="C27" s="207">
        <v>49521.8</v>
      </c>
      <c r="D27" s="6">
        <v>47500</v>
      </c>
      <c r="E27" s="6">
        <v>30761.36</v>
      </c>
      <c r="F27" s="179">
        <v>46500</v>
      </c>
      <c r="G27" s="74">
        <f t="shared" si="0"/>
        <v>97.89473684210527</v>
      </c>
      <c r="H27" s="65">
        <f>F27/rashodi!$F$9*100</f>
        <v>0.002638358613717713</v>
      </c>
      <c r="I27" s="111"/>
    </row>
    <row r="28" spans="1:9" ht="24.75" customHeight="1">
      <c r="A28" s="12" t="s">
        <v>157</v>
      </c>
      <c r="B28" s="7" t="s">
        <v>161</v>
      </c>
      <c r="C28" s="207">
        <v>1048688.44</v>
      </c>
      <c r="D28" s="6">
        <v>950000</v>
      </c>
      <c r="E28" s="6">
        <v>546697.27</v>
      </c>
      <c r="F28" s="179">
        <v>900000</v>
      </c>
      <c r="G28" s="74">
        <f t="shared" si="0"/>
        <v>94.73684210526315</v>
      </c>
      <c r="H28" s="65">
        <f>F28/rashodi!$F$9*100</f>
        <v>0.05106500542679444</v>
      </c>
      <c r="I28" s="111"/>
    </row>
    <row r="29" spans="1:9" ht="24.75" customHeight="1">
      <c r="A29" s="3" t="s">
        <v>138</v>
      </c>
      <c r="B29" s="7" t="s">
        <v>41</v>
      </c>
      <c r="C29" s="207">
        <v>7795112.04</v>
      </c>
      <c r="D29" s="6">
        <v>7800000</v>
      </c>
      <c r="E29" s="6">
        <v>4958807.6</v>
      </c>
      <c r="F29" s="179">
        <v>7500000</v>
      </c>
      <c r="G29" s="74">
        <f t="shared" si="0"/>
        <v>96.15384615384616</v>
      </c>
      <c r="H29" s="65">
        <f>F29/rashodi!$F$9*100</f>
        <v>0.4255417118899537</v>
      </c>
      <c r="I29" s="111"/>
    </row>
    <row r="30" spans="1:9" ht="24.75" customHeight="1">
      <c r="A30" s="108" t="s">
        <v>139</v>
      </c>
      <c r="B30" s="7" t="s">
        <v>42</v>
      </c>
      <c r="C30" s="207">
        <v>149553.88</v>
      </c>
      <c r="D30" s="6">
        <v>150000</v>
      </c>
      <c r="E30" s="6">
        <v>68610.14</v>
      </c>
      <c r="F30" s="179">
        <v>62000</v>
      </c>
      <c r="G30" s="74">
        <f t="shared" si="0"/>
        <v>41.333333333333336</v>
      </c>
      <c r="H30" s="65">
        <f>F30/rashodi!$F$9*100</f>
        <v>0.0035178114849569505</v>
      </c>
      <c r="I30" s="111"/>
    </row>
    <row r="31" spans="1:9" ht="24.75" customHeight="1" thickBot="1">
      <c r="A31" s="13" t="s">
        <v>124</v>
      </c>
      <c r="B31" s="15" t="s">
        <v>40</v>
      </c>
      <c r="C31" s="215">
        <v>50806.97</v>
      </c>
      <c r="D31" s="102">
        <v>52000</v>
      </c>
      <c r="E31" s="102">
        <v>33622.03</v>
      </c>
      <c r="F31" s="181">
        <v>52000</v>
      </c>
      <c r="G31" s="135">
        <f t="shared" si="0"/>
        <v>100</v>
      </c>
      <c r="H31" s="66">
        <f>F31/rashodi!$F$9*100</f>
        <v>0.0029504225357703455</v>
      </c>
      <c r="I31" s="11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</sheetData>
  <sheetProtection/>
  <mergeCells count="6">
    <mergeCell ref="D9:D10"/>
    <mergeCell ref="D14:D15"/>
    <mergeCell ref="D22:D24"/>
    <mergeCell ref="G9:G10"/>
    <mergeCell ref="G14:G15"/>
    <mergeCell ref="G22:G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BDRAGICA</dc:creator>
  <cp:keywords/>
  <dc:description/>
  <cp:lastModifiedBy>mivana</cp:lastModifiedBy>
  <cp:lastPrinted>2012-10-19T10:55:13Z</cp:lastPrinted>
  <dcterms:created xsi:type="dcterms:W3CDTF">2005-08-11T12:46:14Z</dcterms:created>
  <dcterms:modified xsi:type="dcterms:W3CDTF">2013-01-08T10:55:39Z</dcterms:modified>
  <cp:category/>
  <cp:version/>
  <cp:contentType/>
  <cp:contentStatus/>
</cp:coreProperties>
</file>